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checkCompatibility="1"/>
  <bookViews>
    <workbookView xWindow="0" yWindow="0" windowWidth="28800" windowHeight="12000" tabRatio="809" activeTab="1"/>
  </bookViews>
  <sheets>
    <sheet name="VENITURI" sheetId="2" r:id="rId1"/>
    <sheet name="CHELTUIELI" sheetId="1" r:id="rId2"/>
  </sheets>
  <definedNames>
    <definedName name="__xlfn_BAHTTEXT">#N/A</definedName>
    <definedName name="__xlnm.Database">#N/A</definedName>
    <definedName name="BUGET" localSheetId="0">#REF!</definedName>
    <definedName name="BUGET">#REF!</definedName>
    <definedName name="_xlnm.Database" localSheetId="0">#REF!</definedName>
    <definedName name="_xlnm.Database">#REF!</definedName>
    <definedName name="Excel_BuiltIn_Database" localSheetId="0">#REF!</definedName>
    <definedName name="Excel_BuiltIn_Database">#REF!</definedName>
    <definedName name="Excel_BuiltIn_Print_Area">#REF!</definedName>
    <definedName name="ff">#REF!</definedName>
    <definedName name="g">#REF!</definedName>
    <definedName name="k">#REF!</definedName>
    <definedName name="ms">#REF!</definedName>
    <definedName name="OBG">#REF!</definedName>
    <definedName name="ok">#REF!</definedName>
    <definedName name="OMG">#REF!</definedName>
    <definedName name="page\x2dtotal">#REF!</definedName>
    <definedName name="page\x2dtotal\x2dmaster0">#REF!</definedName>
    <definedName name="_xlnm.Print_Area" localSheetId="1">CHELTUIELI!$A$1:$P$447</definedName>
    <definedName name="_xlnm.Print_Area" localSheetId="0">VENITURI!$A$1:$D$115</definedName>
    <definedName name="_xlnm.Print_Titles" localSheetId="1">CHELTUIELI!$5:$5</definedName>
    <definedName name="_xlnm.Print_Titles" localSheetId="0">VENITURI!$6:$6</definedName>
  </definedNames>
  <calcPr calcId="145621"/>
</workbook>
</file>

<file path=xl/calcChain.xml><?xml version="1.0" encoding="utf-8"?>
<calcChain xmlns="http://schemas.openxmlformats.org/spreadsheetml/2006/main">
  <c r="D25" i="2" l="1"/>
  <c r="C25" i="2"/>
  <c r="N324" i="1"/>
  <c r="G324" i="1"/>
  <c r="F290" i="1" l="1"/>
  <c r="F295" i="1" l="1"/>
  <c r="F291" i="1" l="1"/>
  <c r="E276" i="1"/>
  <c r="E266" i="1"/>
  <c r="F261" i="1"/>
  <c r="E261" i="1"/>
  <c r="F258" i="1"/>
  <c r="E258" i="1"/>
  <c r="F253" i="1"/>
  <c r="F252" i="1"/>
  <c r="F245" i="1"/>
  <c r="E245" i="1"/>
  <c r="E237" i="1"/>
  <c r="F228" i="1"/>
  <c r="E228" i="1"/>
  <c r="F226" i="1"/>
  <c r="E226" i="1"/>
  <c r="F211" i="1"/>
  <c r="E211" i="1"/>
  <c r="F209" i="1"/>
  <c r="E209" i="1"/>
  <c r="F191" i="1"/>
  <c r="F186" i="1"/>
  <c r="E186" i="1"/>
  <c r="E177" i="1"/>
  <c r="E169" i="1"/>
  <c r="E161" i="1"/>
  <c r="E158" i="1"/>
  <c r="F155" i="1"/>
  <c r="E119" i="1"/>
  <c r="F143" i="1"/>
  <c r="F141" i="1"/>
  <c r="E141" i="1"/>
  <c r="F135" i="1"/>
  <c r="E135" i="1"/>
  <c r="F140" i="1"/>
  <c r="E140" i="1"/>
  <c r="F122" i="1"/>
  <c r="E122" i="1"/>
  <c r="F113" i="1"/>
  <c r="E113" i="1"/>
  <c r="F97" i="1"/>
  <c r="F93" i="1"/>
  <c r="D58" i="1" l="1"/>
  <c r="D56" i="1"/>
  <c r="D52" i="1"/>
  <c r="D49" i="1"/>
  <c r="D48" i="1"/>
  <c r="G326" i="1" l="1"/>
  <c r="L227" i="1" l="1"/>
  <c r="M227" i="1"/>
  <c r="E150" i="1" l="1"/>
  <c r="J57" i="1" l="1"/>
  <c r="G253" i="1" l="1"/>
  <c r="J87" i="1"/>
  <c r="P149" i="1" l="1"/>
  <c r="O149" i="1"/>
  <c r="M149" i="1"/>
  <c r="L149" i="1"/>
  <c r="I149" i="1"/>
  <c r="H149" i="1"/>
  <c r="F149" i="1"/>
  <c r="E149" i="1"/>
  <c r="N150" i="1" l="1"/>
  <c r="N151" i="1"/>
  <c r="K150" i="1"/>
  <c r="K151" i="1"/>
  <c r="G150" i="1"/>
  <c r="G151" i="1"/>
  <c r="D150" i="1"/>
  <c r="D151" i="1"/>
  <c r="J150" i="1" l="1"/>
  <c r="C150" i="1"/>
  <c r="C151" i="1"/>
  <c r="N149" i="1"/>
  <c r="G149" i="1"/>
  <c r="J151" i="1"/>
  <c r="K149" i="1"/>
  <c r="D149" i="1"/>
  <c r="J296" i="1"/>
  <c r="J149" i="1" l="1"/>
  <c r="C149" i="1"/>
  <c r="N344" i="1"/>
  <c r="N333" i="1"/>
  <c r="N330" i="1"/>
  <c r="P323" i="1"/>
  <c r="O323" i="1"/>
  <c r="N323" i="1"/>
  <c r="N322" i="1"/>
  <c r="N309" i="1"/>
  <c r="N304" i="1"/>
  <c r="N297" i="1"/>
  <c r="N295" i="1"/>
  <c r="N293" i="1"/>
  <c r="N292" i="1"/>
  <c r="N291" i="1"/>
  <c r="N290" i="1"/>
  <c r="P289" i="1"/>
  <c r="O289" i="1"/>
  <c r="N287" i="1"/>
  <c r="N286" i="1"/>
  <c r="N285" i="1"/>
  <c r="N284" i="1"/>
  <c r="N283" i="1"/>
  <c r="N282" i="1"/>
  <c r="P281" i="1"/>
  <c r="O281" i="1"/>
  <c r="N279" i="1"/>
  <c r="N278" i="1"/>
  <c r="N277" i="1"/>
  <c r="N276" i="1"/>
  <c r="P275" i="1"/>
  <c r="O275" i="1"/>
  <c r="N274" i="1"/>
  <c r="N273" i="1"/>
  <c r="P272" i="1"/>
  <c r="O272" i="1"/>
  <c r="N271" i="1"/>
  <c r="N270" i="1"/>
  <c r="P269" i="1"/>
  <c r="O269" i="1"/>
  <c r="N268" i="1"/>
  <c r="N267" i="1"/>
  <c r="N266" i="1"/>
  <c r="N265" i="1"/>
  <c r="N264" i="1"/>
  <c r="N263" i="1"/>
  <c r="N262" i="1"/>
  <c r="N261" i="1"/>
  <c r="P260" i="1"/>
  <c r="O260" i="1"/>
  <c r="N258" i="1"/>
  <c r="N254" i="1"/>
  <c r="N253" i="1"/>
  <c r="N252" i="1"/>
  <c r="P251" i="1"/>
  <c r="O251" i="1"/>
  <c r="N249" i="1"/>
  <c r="N248" i="1"/>
  <c r="N247" i="1"/>
  <c r="N246" i="1"/>
  <c r="N245" i="1"/>
  <c r="P244" i="1"/>
  <c r="O244" i="1"/>
  <c r="N242" i="1"/>
  <c r="N241" i="1"/>
  <c r="P240" i="1"/>
  <c r="O240" i="1"/>
  <c r="N239" i="1"/>
  <c r="N238" i="1"/>
  <c r="N237" i="1"/>
  <c r="P236" i="1"/>
  <c r="O236" i="1"/>
  <c r="N235" i="1"/>
  <c r="N234" i="1"/>
  <c r="P233" i="1"/>
  <c r="O233" i="1"/>
  <c r="N232" i="1"/>
  <c r="N231" i="1"/>
  <c r="N230" i="1"/>
  <c r="N229" i="1"/>
  <c r="N228" i="1"/>
  <c r="P227" i="1"/>
  <c r="O227" i="1"/>
  <c r="N226" i="1"/>
  <c r="N223" i="1"/>
  <c r="N222" i="1"/>
  <c r="N221" i="1"/>
  <c r="N220" i="1"/>
  <c r="N219" i="1"/>
  <c r="P218" i="1"/>
  <c r="O218" i="1"/>
  <c r="N216" i="1"/>
  <c r="N215" i="1"/>
  <c r="N214" i="1"/>
  <c r="N213" i="1"/>
  <c r="N212" i="1"/>
  <c r="N211" i="1"/>
  <c r="P210" i="1"/>
  <c r="O210" i="1"/>
  <c r="N209" i="1"/>
  <c r="N206" i="1"/>
  <c r="N205" i="1"/>
  <c r="N204" i="1"/>
  <c r="N203" i="1"/>
  <c r="N202" i="1"/>
  <c r="N201" i="1"/>
  <c r="N200" i="1"/>
  <c r="N199" i="1"/>
  <c r="N198" i="1"/>
  <c r="N197" i="1"/>
  <c r="P196" i="1"/>
  <c r="O196" i="1"/>
  <c r="N192" i="1"/>
  <c r="N191" i="1"/>
  <c r="P190" i="1"/>
  <c r="O190" i="1"/>
  <c r="N188" i="1"/>
  <c r="N187" i="1"/>
  <c r="N186" i="1"/>
  <c r="P185" i="1"/>
  <c r="O185" i="1"/>
  <c r="N183" i="1"/>
  <c r="N182" i="1"/>
  <c r="N181" i="1"/>
  <c r="P180" i="1"/>
  <c r="O180" i="1"/>
  <c r="N179" i="1"/>
  <c r="N178" i="1"/>
  <c r="N177" i="1"/>
  <c r="P176" i="1"/>
  <c r="O176" i="1"/>
  <c r="N174" i="1"/>
  <c r="N173" i="1"/>
  <c r="P172" i="1"/>
  <c r="O172" i="1"/>
  <c r="N171" i="1"/>
  <c r="N170" i="1"/>
  <c r="N169" i="1"/>
  <c r="P168" i="1"/>
  <c r="O168" i="1"/>
  <c r="N167" i="1"/>
  <c r="N166" i="1"/>
  <c r="N165" i="1"/>
  <c r="N164" i="1"/>
  <c r="P163" i="1"/>
  <c r="O163" i="1"/>
  <c r="N162" i="1"/>
  <c r="N161" i="1"/>
  <c r="P160" i="1"/>
  <c r="O160" i="1"/>
  <c r="N159" i="1"/>
  <c r="N158" i="1"/>
  <c r="P157" i="1"/>
  <c r="O157" i="1"/>
  <c r="N156" i="1"/>
  <c r="N155" i="1"/>
  <c r="P154" i="1"/>
  <c r="O154" i="1"/>
  <c r="N148" i="1"/>
  <c r="N147" i="1"/>
  <c r="N146" i="1"/>
  <c r="P145" i="1"/>
  <c r="O145" i="1"/>
  <c r="N144" i="1"/>
  <c r="N143" i="1"/>
  <c r="N142" i="1"/>
  <c r="N141" i="1"/>
  <c r="N140" i="1"/>
  <c r="P139" i="1"/>
  <c r="O139" i="1"/>
  <c r="N137" i="1"/>
  <c r="N136" i="1"/>
  <c r="N135" i="1"/>
  <c r="P134" i="1"/>
  <c r="O134" i="1"/>
  <c r="N132" i="1"/>
  <c r="N131" i="1"/>
  <c r="P130" i="1"/>
  <c r="O130" i="1"/>
  <c r="N129" i="1"/>
  <c r="N128" i="1"/>
  <c r="P127" i="1"/>
  <c r="O127" i="1"/>
  <c r="N126" i="1"/>
  <c r="N125" i="1"/>
  <c r="P124" i="1"/>
  <c r="O124" i="1"/>
  <c r="N123" i="1"/>
  <c r="N122" i="1"/>
  <c r="P121" i="1"/>
  <c r="O121" i="1"/>
  <c r="N120" i="1"/>
  <c r="N119" i="1"/>
  <c r="P118" i="1"/>
  <c r="O118" i="1"/>
  <c r="N117" i="1"/>
  <c r="N116" i="1"/>
  <c r="P115" i="1"/>
  <c r="O115" i="1"/>
  <c r="N114" i="1"/>
  <c r="N113" i="1"/>
  <c r="P112" i="1"/>
  <c r="O112" i="1"/>
  <c r="N109" i="1"/>
  <c r="N108" i="1"/>
  <c r="N107" i="1"/>
  <c r="N106" i="1"/>
  <c r="N105" i="1"/>
  <c r="N104" i="1"/>
  <c r="P103" i="1"/>
  <c r="O103" i="1"/>
  <c r="N101" i="1"/>
  <c r="N100" i="1"/>
  <c r="P99" i="1"/>
  <c r="O99" i="1"/>
  <c r="N98" i="1"/>
  <c r="N97" i="1"/>
  <c r="P96" i="1"/>
  <c r="O96" i="1"/>
  <c r="N95" i="1"/>
  <c r="N94" i="1"/>
  <c r="N93" i="1"/>
  <c r="N81" i="1"/>
  <c r="N76" i="1"/>
  <c r="P74" i="1"/>
  <c r="O74" i="1"/>
  <c r="N74" i="1"/>
  <c r="N70" i="1"/>
  <c r="N62" i="1"/>
  <c r="P60" i="1"/>
  <c r="O60" i="1"/>
  <c r="N60" i="1"/>
  <c r="N55" i="1"/>
  <c r="N37" i="1"/>
  <c r="P35" i="1"/>
  <c r="O35" i="1"/>
  <c r="N35" i="1"/>
  <c r="N25" i="1"/>
  <c r="K344" i="1"/>
  <c r="K343" i="1" s="1"/>
  <c r="K342" i="1" s="1"/>
  <c r="K341" i="1" s="1"/>
  <c r="K338" i="1" s="1"/>
  <c r="K337" i="1" s="1"/>
  <c r="K336" i="1" s="1"/>
  <c r="K333" i="1"/>
  <c r="K16" i="1" s="1"/>
  <c r="K330" i="1"/>
  <c r="K329" i="1" s="1"/>
  <c r="K13" i="1" s="1"/>
  <c r="M323" i="1"/>
  <c r="M322" i="1" s="1"/>
  <c r="M321" i="1" s="1"/>
  <c r="M320" i="1" s="1"/>
  <c r="M319" i="1" s="1"/>
  <c r="M318" i="1" s="1"/>
  <c r="L323" i="1"/>
  <c r="L322" i="1" s="1"/>
  <c r="L321" i="1" s="1"/>
  <c r="L320" i="1" s="1"/>
  <c r="L319" i="1" s="1"/>
  <c r="L318" i="1" s="1"/>
  <c r="K323" i="1"/>
  <c r="K322" i="1"/>
  <c r="K309" i="1"/>
  <c r="K304" i="1"/>
  <c r="K297" i="1"/>
  <c r="K295" i="1"/>
  <c r="K293" i="1"/>
  <c r="K292" i="1"/>
  <c r="K291" i="1"/>
  <c r="K290" i="1"/>
  <c r="M289" i="1"/>
  <c r="L289" i="1"/>
  <c r="K287" i="1"/>
  <c r="K286" i="1"/>
  <c r="K285" i="1"/>
  <c r="K284" i="1"/>
  <c r="K283" i="1"/>
  <c r="K282" i="1"/>
  <c r="M281" i="1"/>
  <c r="L281" i="1"/>
  <c r="K279" i="1"/>
  <c r="K278" i="1"/>
  <c r="K277" i="1"/>
  <c r="K276" i="1"/>
  <c r="M275" i="1"/>
  <c r="L275" i="1"/>
  <c r="K274" i="1"/>
  <c r="K273" i="1"/>
  <c r="M272" i="1"/>
  <c r="L272" i="1"/>
  <c r="K271" i="1"/>
  <c r="K270" i="1"/>
  <c r="M269" i="1"/>
  <c r="L269" i="1"/>
  <c r="K268" i="1"/>
  <c r="K267" i="1"/>
  <c r="K266" i="1"/>
  <c r="K265" i="1"/>
  <c r="K264" i="1"/>
  <c r="K263" i="1"/>
  <c r="K262" i="1"/>
  <c r="K261" i="1"/>
  <c r="M260" i="1"/>
  <c r="L260" i="1"/>
  <c r="K258" i="1"/>
  <c r="K254" i="1"/>
  <c r="K253" i="1"/>
  <c r="K252" i="1"/>
  <c r="M251" i="1"/>
  <c r="L251" i="1"/>
  <c r="K249" i="1"/>
  <c r="K248" i="1"/>
  <c r="K247" i="1"/>
  <c r="K246" i="1"/>
  <c r="K245" i="1"/>
  <c r="M244" i="1"/>
  <c r="L244" i="1"/>
  <c r="K242" i="1"/>
  <c r="K241" i="1"/>
  <c r="M240" i="1"/>
  <c r="L240" i="1"/>
  <c r="K239" i="1"/>
  <c r="K238" i="1"/>
  <c r="K237" i="1"/>
  <c r="M236" i="1"/>
  <c r="L236" i="1"/>
  <c r="K235" i="1"/>
  <c r="K234" i="1"/>
  <c r="M233" i="1"/>
  <c r="L233" i="1"/>
  <c r="K232" i="1"/>
  <c r="K231" i="1"/>
  <c r="K230" i="1"/>
  <c r="K229" i="1"/>
  <c r="K228" i="1"/>
  <c r="K226" i="1"/>
  <c r="K223" i="1"/>
  <c r="K222" i="1"/>
  <c r="K221" i="1"/>
  <c r="K220" i="1"/>
  <c r="K219" i="1"/>
  <c r="M218" i="1"/>
  <c r="L218" i="1"/>
  <c r="K216" i="1"/>
  <c r="K215" i="1"/>
  <c r="K214" i="1"/>
  <c r="K213" i="1"/>
  <c r="K212" i="1"/>
  <c r="K211" i="1"/>
  <c r="M210" i="1"/>
  <c r="L210" i="1"/>
  <c r="K209" i="1"/>
  <c r="K206" i="1"/>
  <c r="K205" i="1"/>
  <c r="K204" i="1"/>
  <c r="K203" i="1"/>
  <c r="K202" i="1"/>
  <c r="K201" i="1"/>
  <c r="K200" i="1"/>
  <c r="K199" i="1"/>
  <c r="K198" i="1"/>
  <c r="K197" i="1"/>
  <c r="M196" i="1"/>
  <c r="L196" i="1"/>
  <c r="L195" i="1" s="1"/>
  <c r="K192" i="1"/>
  <c r="K191" i="1"/>
  <c r="M190" i="1"/>
  <c r="L190" i="1"/>
  <c r="K188" i="1"/>
  <c r="K187" i="1"/>
  <c r="K186" i="1"/>
  <c r="M185" i="1"/>
  <c r="L185" i="1"/>
  <c r="K183" i="1"/>
  <c r="K182" i="1"/>
  <c r="K181" i="1"/>
  <c r="M180" i="1"/>
  <c r="L180" i="1"/>
  <c r="K179" i="1"/>
  <c r="K178" i="1"/>
  <c r="K177" i="1"/>
  <c r="M176" i="1"/>
  <c r="L176" i="1"/>
  <c r="K174" i="1"/>
  <c r="K173" i="1"/>
  <c r="M172" i="1"/>
  <c r="L172" i="1"/>
  <c r="K171" i="1"/>
  <c r="K170" i="1"/>
  <c r="K169" i="1"/>
  <c r="M168" i="1"/>
  <c r="L168" i="1"/>
  <c r="K167" i="1"/>
  <c r="K166" i="1"/>
  <c r="K165" i="1"/>
  <c r="K164" i="1"/>
  <c r="M163" i="1"/>
  <c r="L163" i="1"/>
  <c r="K162" i="1"/>
  <c r="K161" i="1"/>
  <c r="M160" i="1"/>
  <c r="L160" i="1"/>
  <c r="K159" i="1"/>
  <c r="K158" i="1"/>
  <c r="M157" i="1"/>
  <c r="L157" i="1"/>
  <c r="K156" i="1"/>
  <c r="K155" i="1"/>
  <c r="M154" i="1"/>
  <c r="L154" i="1"/>
  <c r="K148" i="1"/>
  <c r="K147" i="1"/>
  <c r="K146" i="1"/>
  <c r="M145" i="1"/>
  <c r="L145" i="1"/>
  <c r="K144" i="1"/>
  <c r="K143" i="1"/>
  <c r="K142" i="1"/>
  <c r="K141" i="1"/>
  <c r="K140" i="1"/>
  <c r="M139" i="1"/>
  <c r="L139" i="1"/>
  <c r="K137" i="1"/>
  <c r="K136" i="1"/>
  <c r="K135" i="1"/>
  <c r="M134" i="1"/>
  <c r="L134" i="1"/>
  <c r="K132" i="1"/>
  <c r="K131" i="1"/>
  <c r="M130" i="1"/>
  <c r="L130" i="1"/>
  <c r="K129" i="1"/>
  <c r="K128" i="1"/>
  <c r="M127" i="1"/>
  <c r="L127" i="1"/>
  <c r="K126" i="1"/>
  <c r="K125" i="1"/>
  <c r="M124" i="1"/>
  <c r="L124" i="1"/>
  <c r="K123" i="1"/>
  <c r="K122" i="1"/>
  <c r="M121" i="1"/>
  <c r="L121" i="1"/>
  <c r="K120" i="1"/>
  <c r="K119" i="1"/>
  <c r="M118" i="1"/>
  <c r="L118" i="1"/>
  <c r="K117" i="1"/>
  <c r="K116" i="1"/>
  <c r="M115" i="1"/>
  <c r="L115" i="1"/>
  <c r="K114" i="1"/>
  <c r="K113" i="1"/>
  <c r="M112" i="1"/>
  <c r="L112" i="1"/>
  <c r="K109" i="1"/>
  <c r="K108" i="1"/>
  <c r="K107" i="1"/>
  <c r="K106" i="1"/>
  <c r="K105" i="1"/>
  <c r="K104" i="1"/>
  <c r="M103" i="1"/>
  <c r="L103" i="1"/>
  <c r="K101" i="1"/>
  <c r="K100" i="1"/>
  <c r="M99" i="1"/>
  <c r="L99" i="1"/>
  <c r="K98" i="1"/>
  <c r="K97" i="1"/>
  <c r="M96" i="1"/>
  <c r="L96" i="1"/>
  <c r="K95" i="1"/>
  <c r="K94" i="1"/>
  <c r="K93" i="1"/>
  <c r="K81" i="1"/>
  <c r="K76" i="1"/>
  <c r="M74" i="1"/>
  <c r="M73" i="1" s="1"/>
  <c r="L74" i="1"/>
  <c r="L73" i="1" s="1"/>
  <c r="K74" i="1"/>
  <c r="K73" i="1" s="1"/>
  <c r="K11" i="1" s="1"/>
  <c r="K70" i="1"/>
  <c r="K62" i="1"/>
  <c r="M60" i="1"/>
  <c r="L60" i="1"/>
  <c r="K60" i="1"/>
  <c r="K55" i="1"/>
  <c r="K37" i="1"/>
  <c r="M35" i="1"/>
  <c r="L35" i="1"/>
  <c r="K35" i="1"/>
  <c r="K25" i="1"/>
  <c r="G344" i="1"/>
  <c r="G343" i="1" s="1"/>
  <c r="G342" i="1" s="1"/>
  <c r="G341" i="1" s="1"/>
  <c r="G338" i="1" s="1"/>
  <c r="G337" i="1" s="1"/>
  <c r="G336" i="1" s="1"/>
  <c r="G333" i="1"/>
  <c r="G16" i="1" s="1"/>
  <c r="G330" i="1"/>
  <c r="G329" i="1" s="1"/>
  <c r="G13" i="1" s="1"/>
  <c r="I323" i="1"/>
  <c r="I322" i="1" s="1"/>
  <c r="I321" i="1" s="1"/>
  <c r="I320" i="1" s="1"/>
  <c r="I319" i="1" s="1"/>
  <c r="I318" i="1" s="1"/>
  <c r="H323" i="1"/>
  <c r="H322" i="1" s="1"/>
  <c r="H321" i="1" s="1"/>
  <c r="H320" i="1" s="1"/>
  <c r="H319" i="1" s="1"/>
  <c r="H318" i="1" s="1"/>
  <c r="G323" i="1"/>
  <c r="G322" i="1"/>
  <c r="G309" i="1"/>
  <c r="G304" i="1"/>
  <c r="G297" i="1"/>
  <c r="G295" i="1"/>
  <c r="G293" i="1"/>
  <c r="G292" i="1"/>
  <c r="G291" i="1"/>
  <c r="G290" i="1"/>
  <c r="I289" i="1"/>
  <c r="H289" i="1"/>
  <c r="G287" i="1"/>
  <c r="G286" i="1"/>
  <c r="G285" i="1"/>
  <c r="G284" i="1"/>
  <c r="G283" i="1"/>
  <c r="G282" i="1"/>
  <c r="I281" i="1"/>
  <c r="H281" i="1"/>
  <c r="G279" i="1"/>
  <c r="G278" i="1"/>
  <c r="G277" i="1"/>
  <c r="G276" i="1"/>
  <c r="I275" i="1"/>
  <c r="H275" i="1"/>
  <c r="G274" i="1"/>
  <c r="G273" i="1"/>
  <c r="I272" i="1"/>
  <c r="H272" i="1"/>
  <c r="G271" i="1"/>
  <c r="G270" i="1"/>
  <c r="I269" i="1"/>
  <c r="H269" i="1"/>
  <c r="G268" i="1"/>
  <c r="G267" i="1"/>
  <c r="G266" i="1"/>
  <c r="G265" i="1"/>
  <c r="G264" i="1"/>
  <c r="G263" i="1"/>
  <c r="G262" i="1"/>
  <c r="G261" i="1"/>
  <c r="I260" i="1"/>
  <c r="H260" i="1"/>
  <c r="G258" i="1"/>
  <c r="G254" i="1"/>
  <c r="G252" i="1"/>
  <c r="I251" i="1"/>
  <c r="H251" i="1"/>
  <c r="G249" i="1"/>
  <c r="G248" i="1"/>
  <c r="G247" i="1"/>
  <c r="G246" i="1"/>
  <c r="G245" i="1"/>
  <c r="I244" i="1"/>
  <c r="H244" i="1"/>
  <c r="G242" i="1"/>
  <c r="G241" i="1"/>
  <c r="I240" i="1"/>
  <c r="H240" i="1"/>
  <c r="G239" i="1"/>
  <c r="G238" i="1"/>
  <c r="G237" i="1"/>
  <c r="I236" i="1"/>
  <c r="H236" i="1"/>
  <c r="G235" i="1"/>
  <c r="G234" i="1"/>
  <c r="I233" i="1"/>
  <c r="H233" i="1"/>
  <c r="G232" i="1"/>
  <c r="G231" i="1"/>
  <c r="G230" i="1"/>
  <c r="G229" i="1"/>
  <c r="G228" i="1"/>
  <c r="I227" i="1"/>
  <c r="H227" i="1"/>
  <c r="G226" i="1"/>
  <c r="G223" i="1"/>
  <c r="G222" i="1"/>
  <c r="G221" i="1"/>
  <c r="G220" i="1"/>
  <c r="G219" i="1"/>
  <c r="F219" i="1" s="1"/>
  <c r="I218" i="1"/>
  <c r="H218" i="1"/>
  <c r="G216" i="1"/>
  <c r="G215" i="1"/>
  <c r="F215" i="1" s="1"/>
  <c r="G214" i="1"/>
  <c r="G213" i="1"/>
  <c r="G212" i="1"/>
  <c r="G211" i="1"/>
  <c r="I210" i="1"/>
  <c r="I208" i="1" s="1"/>
  <c r="H210" i="1"/>
  <c r="G209" i="1"/>
  <c r="G206" i="1"/>
  <c r="G205" i="1"/>
  <c r="F205" i="1" s="1"/>
  <c r="G204" i="1"/>
  <c r="G203" i="1"/>
  <c r="G202" i="1"/>
  <c r="G201" i="1"/>
  <c r="F201" i="1" s="1"/>
  <c r="G200" i="1"/>
  <c r="G199" i="1"/>
  <c r="G198" i="1"/>
  <c r="F198" i="1" s="1"/>
  <c r="G197" i="1"/>
  <c r="F197" i="1" s="1"/>
  <c r="I196" i="1"/>
  <c r="H196" i="1"/>
  <c r="H195" i="1" s="1"/>
  <c r="G192" i="1"/>
  <c r="G191" i="1"/>
  <c r="I190" i="1"/>
  <c r="H190" i="1"/>
  <c r="G188" i="1"/>
  <c r="G187" i="1"/>
  <c r="G186" i="1"/>
  <c r="I185" i="1"/>
  <c r="H185" i="1"/>
  <c r="G183" i="1"/>
  <c r="G182" i="1"/>
  <c r="G181" i="1"/>
  <c r="I180" i="1"/>
  <c r="H180" i="1"/>
  <c r="G179" i="1"/>
  <c r="G178" i="1"/>
  <c r="G177" i="1"/>
  <c r="I176" i="1"/>
  <c r="H176" i="1"/>
  <c r="G174" i="1"/>
  <c r="G173" i="1"/>
  <c r="I172" i="1"/>
  <c r="H172" i="1"/>
  <c r="G171" i="1"/>
  <c r="G170" i="1"/>
  <c r="G169" i="1"/>
  <c r="I168" i="1"/>
  <c r="H168" i="1"/>
  <c r="G167" i="1"/>
  <c r="G166" i="1"/>
  <c r="G165" i="1"/>
  <c r="G164" i="1"/>
  <c r="I163" i="1"/>
  <c r="H163" i="1"/>
  <c r="G162" i="1"/>
  <c r="G161" i="1"/>
  <c r="I160" i="1"/>
  <c r="H160" i="1"/>
  <c r="G159" i="1"/>
  <c r="G158" i="1"/>
  <c r="I157" i="1"/>
  <c r="H157" i="1"/>
  <c r="G156" i="1"/>
  <c r="G155" i="1"/>
  <c r="I154" i="1"/>
  <c r="H154" i="1"/>
  <c r="G148" i="1"/>
  <c r="E148" i="1" s="1"/>
  <c r="G147" i="1"/>
  <c r="G146" i="1"/>
  <c r="I145" i="1"/>
  <c r="H145" i="1"/>
  <c r="G144" i="1"/>
  <c r="G143" i="1"/>
  <c r="E143" i="1" s="1"/>
  <c r="G142" i="1"/>
  <c r="G141" i="1"/>
  <c r="G140" i="1"/>
  <c r="I139" i="1"/>
  <c r="H139" i="1"/>
  <c r="G137" i="1"/>
  <c r="G136" i="1"/>
  <c r="G135" i="1"/>
  <c r="I134" i="1"/>
  <c r="H134" i="1"/>
  <c r="G132" i="1"/>
  <c r="G131" i="1"/>
  <c r="I130" i="1"/>
  <c r="H130" i="1"/>
  <c r="G129" i="1"/>
  <c r="G128" i="1"/>
  <c r="F128" i="1" s="1"/>
  <c r="I127" i="1"/>
  <c r="H127" i="1"/>
  <c r="G126" i="1"/>
  <c r="G125" i="1"/>
  <c r="E125" i="1" s="1"/>
  <c r="I124" i="1"/>
  <c r="H124" i="1"/>
  <c r="G123" i="1"/>
  <c r="G122" i="1"/>
  <c r="I121" i="1"/>
  <c r="H121" i="1"/>
  <c r="G120" i="1"/>
  <c r="G119" i="1"/>
  <c r="I118" i="1"/>
  <c r="H118" i="1"/>
  <c r="G117" i="1"/>
  <c r="G116" i="1"/>
  <c r="I115" i="1"/>
  <c r="H115" i="1"/>
  <c r="G114" i="1"/>
  <c r="G113" i="1"/>
  <c r="I112" i="1"/>
  <c r="H112" i="1"/>
  <c r="G109" i="1"/>
  <c r="F109" i="1" s="1"/>
  <c r="G108" i="1"/>
  <c r="G107" i="1"/>
  <c r="F107" i="1" s="1"/>
  <c r="G106" i="1"/>
  <c r="F106" i="1" s="1"/>
  <c r="G105" i="1"/>
  <c r="G104" i="1"/>
  <c r="F104" i="1" s="1"/>
  <c r="I103" i="1"/>
  <c r="H103" i="1"/>
  <c r="G101" i="1"/>
  <c r="G100" i="1"/>
  <c r="I99" i="1"/>
  <c r="H99" i="1"/>
  <c r="G98" i="1"/>
  <c r="G97" i="1"/>
  <c r="I96" i="1"/>
  <c r="H96" i="1"/>
  <c r="G95" i="1"/>
  <c r="G94" i="1"/>
  <c r="G93" i="1"/>
  <c r="G81" i="1"/>
  <c r="G76" i="1"/>
  <c r="I74" i="1"/>
  <c r="I73" i="1" s="1"/>
  <c r="H74" i="1"/>
  <c r="H73" i="1" s="1"/>
  <c r="G74" i="1"/>
  <c r="G73" i="1" s="1"/>
  <c r="G70" i="1"/>
  <c r="G62" i="1"/>
  <c r="I60" i="1"/>
  <c r="H60" i="1"/>
  <c r="G60" i="1"/>
  <c r="G55" i="1"/>
  <c r="G37" i="1"/>
  <c r="I35" i="1"/>
  <c r="H35" i="1"/>
  <c r="G35" i="1"/>
  <c r="G25" i="1"/>
  <c r="D295" i="1"/>
  <c r="N80" i="1" l="1"/>
  <c r="N18" i="1" s="1"/>
  <c r="O133" i="1"/>
  <c r="P195" i="1"/>
  <c r="P133" i="1"/>
  <c r="O322" i="1"/>
  <c r="N115" i="1"/>
  <c r="P322" i="1"/>
  <c r="N329" i="1"/>
  <c r="N73" i="1"/>
  <c r="O102" i="1"/>
  <c r="O92" i="1" s="1"/>
  <c r="O208" i="1"/>
  <c r="N16" i="1"/>
  <c r="O73" i="1"/>
  <c r="P102" i="1"/>
  <c r="P208" i="1"/>
  <c r="O259" i="1"/>
  <c r="N272" i="1"/>
  <c r="N343" i="1"/>
  <c r="P73" i="1"/>
  <c r="N96" i="1"/>
  <c r="N103" i="1"/>
  <c r="N118" i="1"/>
  <c r="P259" i="1"/>
  <c r="P257" i="1" s="1"/>
  <c r="N15" i="1"/>
  <c r="L133" i="1"/>
  <c r="N180" i="1"/>
  <c r="K157" i="1"/>
  <c r="K163" i="1"/>
  <c r="N124" i="1"/>
  <c r="N260" i="1"/>
  <c r="N259" i="1" s="1"/>
  <c r="N210" i="1"/>
  <c r="N208" i="1" s="1"/>
  <c r="N240" i="1"/>
  <c r="G272" i="1"/>
  <c r="N121" i="1"/>
  <c r="G281" i="1"/>
  <c r="G218" i="1"/>
  <c r="N168" i="1"/>
  <c r="P225" i="1"/>
  <c r="G130" i="1"/>
  <c r="K272" i="1"/>
  <c r="N218" i="1"/>
  <c r="N130" i="1"/>
  <c r="P138" i="1"/>
  <c r="N176" i="1"/>
  <c r="N190" i="1"/>
  <c r="N236" i="1"/>
  <c r="N24" i="1"/>
  <c r="N139" i="1"/>
  <c r="N157" i="1"/>
  <c r="N269" i="1"/>
  <c r="N134" i="1"/>
  <c r="N233" i="1"/>
  <c r="N154" i="1"/>
  <c r="N160" i="1"/>
  <c r="N227" i="1"/>
  <c r="I175" i="1"/>
  <c r="I153" i="1" s="1"/>
  <c r="G163" i="1"/>
  <c r="G240" i="1"/>
  <c r="K145" i="1"/>
  <c r="K233" i="1"/>
  <c r="O138" i="1"/>
  <c r="P175" i="1"/>
  <c r="N196" i="1"/>
  <c r="N300" i="1"/>
  <c r="M195" i="1"/>
  <c r="I138" i="1"/>
  <c r="H138" i="1"/>
  <c r="G139" i="1"/>
  <c r="M138" i="1"/>
  <c r="L138" i="1"/>
  <c r="K139" i="1"/>
  <c r="M133" i="1"/>
  <c r="K134" i="1"/>
  <c r="I133" i="1"/>
  <c r="H133" i="1"/>
  <c r="G134" i="1"/>
  <c r="K124" i="1"/>
  <c r="G124" i="1"/>
  <c r="K121" i="1"/>
  <c r="K118" i="1"/>
  <c r="K112" i="1"/>
  <c r="L175" i="1"/>
  <c r="M175" i="1"/>
  <c r="M153" i="1" s="1"/>
  <c r="H175" i="1"/>
  <c r="K168" i="1"/>
  <c r="G168" i="1"/>
  <c r="G157" i="1"/>
  <c r="G154" i="1"/>
  <c r="K154" i="1"/>
  <c r="G321" i="1"/>
  <c r="K321" i="1"/>
  <c r="N321" i="1"/>
  <c r="M259" i="1"/>
  <c r="L259" i="1"/>
  <c r="G275" i="1"/>
  <c r="I259" i="1"/>
  <c r="H259" i="1"/>
  <c r="G260" i="1"/>
  <c r="K251" i="1"/>
  <c r="K244" i="1"/>
  <c r="G244" i="1"/>
  <c r="K236" i="1"/>
  <c r="M225" i="1"/>
  <c r="I225" i="1"/>
  <c r="G227" i="1"/>
  <c r="K218" i="1"/>
  <c r="L208" i="1"/>
  <c r="M208" i="1"/>
  <c r="K210" i="1"/>
  <c r="H208" i="1"/>
  <c r="G210" i="1"/>
  <c r="O195" i="1"/>
  <c r="I195" i="1"/>
  <c r="K190" i="1"/>
  <c r="G19" i="1"/>
  <c r="N19" i="1"/>
  <c r="N102" i="1"/>
  <c r="H102" i="1"/>
  <c r="L102" i="1"/>
  <c r="M102" i="1"/>
  <c r="I102" i="1"/>
  <c r="P92" i="1"/>
  <c r="K96" i="1"/>
  <c r="G96" i="1"/>
  <c r="K19" i="1"/>
  <c r="K80" i="1"/>
  <c r="K18" i="1" s="1"/>
  <c r="K15" i="1"/>
  <c r="G80" i="1"/>
  <c r="G15" i="1"/>
  <c r="G11" i="1"/>
  <c r="G24" i="1"/>
  <c r="G9" i="1" s="1"/>
  <c r="G180" i="1"/>
  <c r="I257" i="1"/>
  <c r="K289" i="1"/>
  <c r="N251" i="1"/>
  <c r="N281" i="1"/>
  <c r="G103" i="1"/>
  <c r="G112" i="1"/>
  <c r="G115" i="1"/>
  <c r="G118" i="1"/>
  <c r="G121" i="1"/>
  <c r="G160" i="1"/>
  <c r="G190" i="1"/>
  <c r="G236" i="1"/>
  <c r="K24" i="1"/>
  <c r="K9" i="1" s="1"/>
  <c r="K160" i="1"/>
  <c r="K172" i="1"/>
  <c r="K227" i="1"/>
  <c r="K240" i="1"/>
  <c r="N163" i="1"/>
  <c r="N244" i="1"/>
  <c r="O257" i="1"/>
  <c r="K275" i="1"/>
  <c r="G172" i="1"/>
  <c r="G196" i="1"/>
  <c r="H225" i="1"/>
  <c r="G251" i="1"/>
  <c r="K196" i="1"/>
  <c r="O175" i="1"/>
  <c r="O225" i="1"/>
  <c r="N289" i="1"/>
  <c r="G99" i="1"/>
  <c r="G176" i="1"/>
  <c r="G269" i="1"/>
  <c r="G289" i="1"/>
  <c r="K176" i="1"/>
  <c r="L225" i="1"/>
  <c r="K260" i="1"/>
  <c r="K281" i="1"/>
  <c r="N275" i="1"/>
  <c r="K180" i="1"/>
  <c r="K269" i="1"/>
  <c r="K300" i="1"/>
  <c r="G185" i="1"/>
  <c r="G233" i="1"/>
  <c r="G300" i="1"/>
  <c r="G299" i="1" s="1"/>
  <c r="G298" i="1" s="1"/>
  <c r="G12" i="1" s="1"/>
  <c r="K127" i="1"/>
  <c r="K130" i="1"/>
  <c r="K185" i="1"/>
  <c r="O111" i="1"/>
  <c r="N172" i="1"/>
  <c r="N185" i="1"/>
  <c r="N112" i="1"/>
  <c r="K99" i="1"/>
  <c r="N99" i="1"/>
  <c r="G127" i="1"/>
  <c r="G145" i="1"/>
  <c r="K103" i="1"/>
  <c r="K115" i="1"/>
  <c r="N127" i="1"/>
  <c r="N145" i="1"/>
  <c r="H153" i="1"/>
  <c r="N175" i="1" l="1"/>
  <c r="N153" i="1" s="1"/>
  <c r="N133" i="1"/>
  <c r="P111" i="1"/>
  <c r="N13" i="1"/>
  <c r="O256" i="1"/>
  <c r="P256" i="1"/>
  <c r="P321" i="1"/>
  <c r="O153" i="1"/>
  <c r="N138" i="1"/>
  <c r="N195" i="1"/>
  <c r="N225" i="1"/>
  <c r="N9" i="1"/>
  <c r="N342" i="1"/>
  <c r="P153" i="1"/>
  <c r="P194" i="1"/>
  <c r="N11" i="1"/>
  <c r="O321" i="1"/>
  <c r="N79" i="1"/>
  <c r="N299" i="1"/>
  <c r="L153" i="1"/>
  <c r="N257" i="1"/>
  <c r="K195" i="1"/>
  <c r="O194" i="1"/>
  <c r="I111" i="1"/>
  <c r="G138" i="1"/>
  <c r="K138" i="1"/>
  <c r="L111" i="1"/>
  <c r="M111" i="1"/>
  <c r="K133" i="1"/>
  <c r="G133" i="1"/>
  <c r="H111" i="1"/>
  <c r="G175" i="1"/>
  <c r="G153" i="1" s="1"/>
  <c r="G320" i="1"/>
  <c r="K320" i="1"/>
  <c r="N320" i="1"/>
  <c r="K299" i="1"/>
  <c r="M257" i="1"/>
  <c r="M256" i="1" s="1"/>
  <c r="L257" i="1"/>
  <c r="L256" i="1" s="1"/>
  <c r="K259" i="1"/>
  <c r="G259" i="1"/>
  <c r="H257" i="1"/>
  <c r="H256" i="1" s="1"/>
  <c r="I256" i="1"/>
  <c r="M194" i="1"/>
  <c r="G225" i="1"/>
  <c r="H194" i="1"/>
  <c r="L194" i="1"/>
  <c r="K208" i="1"/>
  <c r="G208" i="1"/>
  <c r="G195" i="1"/>
  <c r="I194" i="1"/>
  <c r="N92" i="1"/>
  <c r="H92" i="1"/>
  <c r="L92" i="1"/>
  <c r="M92" i="1"/>
  <c r="K102" i="1"/>
  <c r="G102" i="1"/>
  <c r="I92" i="1"/>
  <c r="K79" i="1"/>
  <c r="G79" i="1"/>
  <c r="G18" i="1"/>
  <c r="K225" i="1"/>
  <c r="K175" i="1"/>
  <c r="P91" i="1" l="1"/>
  <c r="P90" i="1"/>
  <c r="N17" i="1"/>
  <c r="O320" i="1"/>
  <c r="N341" i="1"/>
  <c r="N111" i="1"/>
  <c r="N91" i="1" s="1"/>
  <c r="O91" i="1"/>
  <c r="O90" i="1" s="1"/>
  <c r="P320" i="1"/>
  <c r="N194" i="1"/>
  <c r="N256" i="1"/>
  <c r="N298" i="1"/>
  <c r="L91" i="1"/>
  <c r="L90" i="1" s="1"/>
  <c r="M91" i="1"/>
  <c r="M90" i="1" s="1"/>
  <c r="K111" i="1"/>
  <c r="G111" i="1"/>
  <c r="K153" i="1"/>
  <c r="G319" i="1"/>
  <c r="K319" i="1"/>
  <c r="N319" i="1"/>
  <c r="K298" i="1"/>
  <c r="K257" i="1"/>
  <c r="K256" i="1" s="1"/>
  <c r="G257" i="1"/>
  <c r="K194" i="1"/>
  <c r="G194" i="1"/>
  <c r="H91" i="1"/>
  <c r="H90" i="1" s="1"/>
  <c r="G92" i="1"/>
  <c r="K92" i="1"/>
  <c r="I91" i="1"/>
  <c r="K17" i="1"/>
  <c r="G17" i="1"/>
  <c r="P319" i="1" l="1"/>
  <c r="N90" i="1"/>
  <c r="N338" i="1"/>
  <c r="O319" i="1"/>
  <c r="N12" i="1"/>
  <c r="K91" i="1"/>
  <c r="K90" i="1" s="1"/>
  <c r="G318" i="1"/>
  <c r="K318" i="1"/>
  <c r="N318" i="1"/>
  <c r="K12" i="1"/>
  <c r="G256" i="1"/>
  <c r="G91" i="1"/>
  <c r="I90" i="1"/>
  <c r="K53" i="1" l="1"/>
  <c r="K45" i="1" s="1"/>
  <c r="K44" i="1" s="1"/>
  <c r="N53" i="1"/>
  <c r="N45" i="1" s="1"/>
  <c r="P318" i="1"/>
  <c r="O318" i="1"/>
  <c r="N337" i="1"/>
  <c r="G14" i="1"/>
  <c r="K14" i="1"/>
  <c r="N14" i="1"/>
  <c r="G90" i="1"/>
  <c r="E196" i="1"/>
  <c r="F196" i="1"/>
  <c r="D200" i="1"/>
  <c r="C184" i="1"/>
  <c r="J184" i="1"/>
  <c r="N336" i="1" l="1"/>
  <c r="K10" i="1"/>
  <c r="K88" i="1"/>
  <c r="K23" i="1"/>
  <c r="K22" i="1" s="1"/>
  <c r="N44" i="1"/>
  <c r="G53" i="1"/>
  <c r="J200" i="1"/>
  <c r="C200" i="1"/>
  <c r="D262" i="1"/>
  <c r="D261" i="1"/>
  <c r="E417" i="1"/>
  <c r="F417" i="1"/>
  <c r="H417" i="1"/>
  <c r="I417" i="1"/>
  <c r="L417" i="1"/>
  <c r="M417" i="1"/>
  <c r="O417" i="1"/>
  <c r="P417" i="1"/>
  <c r="E436" i="1"/>
  <c r="F436" i="1"/>
  <c r="H436" i="1"/>
  <c r="I436" i="1"/>
  <c r="L436" i="1"/>
  <c r="M436" i="1"/>
  <c r="O436" i="1"/>
  <c r="P436" i="1"/>
  <c r="E437" i="1"/>
  <c r="F437" i="1"/>
  <c r="H437" i="1"/>
  <c r="I437" i="1"/>
  <c r="L437" i="1"/>
  <c r="M437" i="1"/>
  <c r="O437" i="1"/>
  <c r="P437" i="1"/>
  <c r="E429" i="1"/>
  <c r="F429" i="1"/>
  <c r="H429" i="1"/>
  <c r="I429" i="1"/>
  <c r="L429" i="1"/>
  <c r="M429" i="1"/>
  <c r="O429" i="1"/>
  <c r="P429" i="1"/>
  <c r="E371" i="1"/>
  <c r="F371" i="1"/>
  <c r="H371" i="1"/>
  <c r="I371" i="1"/>
  <c r="L371" i="1"/>
  <c r="M371" i="1"/>
  <c r="O371" i="1"/>
  <c r="P371" i="1"/>
  <c r="E369" i="1"/>
  <c r="F369" i="1"/>
  <c r="H369" i="1"/>
  <c r="I369" i="1"/>
  <c r="L369" i="1"/>
  <c r="M369" i="1"/>
  <c r="O369" i="1"/>
  <c r="P369" i="1"/>
  <c r="E370" i="1"/>
  <c r="F370" i="1"/>
  <c r="H370" i="1"/>
  <c r="I370" i="1"/>
  <c r="L370" i="1"/>
  <c r="M370" i="1"/>
  <c r="O370" i="1"/>
  <c r="P370" i="1"/>
  <c r="E260" i="1"/>
  <c r="F260" i="1"/>
  <c r="D95" i="2"/>
  <c r="C95" i="2"/>
  <c r="K8" i="1" l="1"/>
  <c r="K7" i="1" s="1"/>
  <c r="K21" i="1"/>
  <c r="K20" i="1" s="1"/>
  <c r="N10" i="1"/>
  <c r="N88" i="1"/>
  <c r="N23" i="1"/>
  <c r="G45" i="1"/>
  <c r="O368" i="1"/>
  <c r="J262" i="1"/>
  <c r="J261" i="1"/>
  <c r="C262" i="1"/>
  <c r="F368" i="1"/>
  <c r="C261" i="1"/>
  <c r="D260" i="1"/>
  <c r="M368" i="1"/>
  <c r="I368" i="1"/>
  <c r="E368" i="1"/>
  <c r="P368" i="1"/>
  <c r="L368" i="1"/>
  <c r="H368" i="1"/>
  <c r="J340" i="1"/>
  <c r="C340" i="1"/>
  <c r="J339" i="1"/>
  <c r="C339" i="1"/>
  <c r="C325" i="1"/>
  <c r="C327" i="1"/>
  <c r="J325" i="1"/>
  <c r="J327" i="1"/>
  <c r="D97" i="2"/>
  <c r="C97" i="2"/>
  <c r="D108" i="2"/>
  <c r="C108" i="2"/>
  <c r="D106" i="2"/>
  <c r="C106" i="2"/>
  <c r="D104" i="2"/>
  <c r="D103" i="2" s="1"/>
  <c r="C104" i="2"/>
  <c r="C103" i="2" s="1"/>
  <c r="D100" i="2"/>
  <c r="D99" i="2" s="1"/>
  <c r="C100" i="2"/>
  <c r="C99" i="2" s="1"/>
  <c r="D86" i="2"/>
  <c r="C86" i="2"/>
  <c r="D73" i="2"/>
  <c r="C73" i="2"/>
  <c r="D69" i="2"/>
  <c r="C69" i="2"/>
  <c r="D63" i="2"/>
  <c r="C63" i="2"/>
  <c r="D61" i="2"/>
  <c r="D60" i="2" s="1"/>
  <c r="C61" i="2"/>
  <c r="C60" i="2" s="1"/>
  <c r="D57" i="2"/>
  <c r="C57" i="2"/>
  <c r="D55" i="2"/>
  <c r="C55" i="2"/>
  <c r="D29" i="2"/>
  <c r="D28" i="2" s="1"/>
  <c r="C29" i="2"/>
  <c r="D24" i="2"/>
  <c r="C24" i="2"/>
  <c r="D16" i="2"/>
  <c r="C16" i="2"/>
  <c r="D9" i="2"/>
  <c r="C9" i="2"/>
  <c r="C28" i="2" l="1"/>
  <c r="C54" i="2"/>
  <c r="D102" i="2"/>
  <c r="N21" i="1"/>
  <c r="N8" i="1"/>
  <c r="N22" i="1"/>
  <c r="G44" i="1"/>
  <c r="J260" i="1"/>
  <c r="C102" i="2"/>
  <c r="C260" i="1"/>
  <c r="D59" i="2"/>
  <c r="C72" i="2"/>
  <c r="C15" i="2"/>
  <c r="C59" i="2"/>
  <c r="D15" i="2"/>
  <c r="D14" i="2" s="1"/>
  <c r="D72" i="2"/>
  <c r="D54" i="2"/>
  <c r="D71" i="2" l="1"/>
  <c r="C71" i="2"/>
  <c r="C53" i="2"/>
  <c r="C14" i="2"/>
  <c r="N7" i="1"/>
  <c r="N20" i="1"/>
  <c r="G10" i="1"/>
  <c r="G88" i="1"/>
  <c r="G23" i="1"/>
  <c r="D53" i="2"/>
  <c r="D8" i="2" l="1"/>
  <c r="D7" i="2" s="1"/>
  <c r="C8" i="2"/>
  <c r="G22" i="1"/>
  <c r="G21" i="1"/>
  <c r="G8" i="1"/>
  <c r="P442" i="1"/>
  <c r="O442" i="1"/>
  <c r="M442" i="1"/>
  <c r="L442" i="1"/>
  <c r="P441" i="1"/>
  <c r="O441" i="1"/>
  <c r="M441" i="1"/>
  <c r="L441" i="1"/>
  <c r="P421" i="1"/>
  <c r="O421" i="1"/>
  <c r="M421" i="1"/>
  <c r="L421" i="1"/>
  <c r="P420" i="1"/>
  <c r="O420" i="1"/>
  <c r="M420" i="1"/>
  <c r="L420" i="1"/>
  <c r="P418" i="1"/>
  <c r="O418" i="1"/>
  <c r="M418" i="1"/>
  <c r="M416" i="1" s="1"/>
  <c r="L418" i="1"/>
  <c r="P413" i="1"/>
  <c r="O413" i="1"/>
  <c r="M413" i="1"/>
  <c r="L413" i="1"/>
  <c r="P412" i="1"/>
  <c r="O412" i="1"/>
  <c r="M412" i="1"/>
  <c r="L412" i="1"/>
  <c r="P410" i="1"/>
  <c r="O410" i="1"/>
  <c r="M410" i="1"/>
  <c r="L410" i="1"/>
  <c r="P409" i="1"/>
  <c r="O409" i="1"/>
  <c r="M409" i="1"/>
  <c r="L409" i="1"/>
  <c r="P408" i="1"/>
  <c r="O408" i="1"/>
  <c r="M408" i="1"/>
  <c r="L408" i="1"/>
  <c r="P406" i="1"/>
  <c r="O406" i="1"/>
  <c r="M406" i="1"/>
  <c r="L406" i="1"/>
  <c r="P405" i="1"/>
  <c r="O405" i="1"/>
  <c r="M405" i="1"/>
  <c r="L405" i="1"/>
  <c r="P404" i="1"/>
  <c r="O404" i="1"/>
  <c r="M404" i="1"/>
  <c r="L404" i="1"/>
  <c r="P403" i="1"/>
  <c r="O403" i="1"/>
  <c r="M403" i="1"/>
  <c r="L403" i="1"/>
  <c r="P402" i="1"/>
  <c r="O402" i="1"/>
  <c r="M402" i="1"/>
  <c r="L402" i="1"/>
  <c r="P401" i="1"/>
  <c r="O401" i="1"/>
  <c r="M401" i="1"/>
  <c r="L401" i="1"/>
  <c r="P400" i="1"/>
  <c r="O400" i="1"/>
  <c r="M400" i="1"/>
  <c r="L400" i="1"/>
  <c r="P399" i="1"/>
  <c r="O399" i="1"/>
  <c r="M399" i="1"/>
  <c r="L399" i="1"/>
  <c r="P398" i="1"/>
  <c r="P397" i="1" s="1"/>
  <c r="O398" i="1"/>
  <c r="M398" i="1"/>
  <c r="L398" i="1"/>
  <c r="P396" i="1"/>
  <c r="O396" i="1"/>
  <c r="M396" i="1"/>
  <c r="L396" i="1"/>
  <c r="P395" i="1"/>
  <c r="O395" i="1"/>
  <c r="M395" i="1"/>
  <c r="L395" i="1"/>
  <c r="P393" i="1"/>
  <c r="O393" i="1"/>
  <c r="M393" i="1"/>
  <c r="L393" i="1"/>
  <c r="P392" i="1"/>
  <c r="P391" i="1" s="1"/>
  <c r="O392" i="1"/>
  <c r="O391" i="1" s="1"/>
  <c r="M392" i="1"/>
  <c r="L392" i="1"/>
  <c r="P390" i="1"/>
  <c r="O390" i="1"/>
  <c r="M390" i="1"/>
  <c r="L390" i="1"/>
  <c r="P389" i="1"/>
  <c r="O389" i="1"/>
  <c r="M389" i="1"/>
  <c r="L389" i="1"/>
  <c r="P388" i="1"/>
  <c r="O388" i="1"/>
  <c r="M388" i="1"/>
  <c r="L388" i="1"/>
  <c r="P387" i="1"/>
  <c r="O387" i="1"/>
  <c r="M387" i="1"/>
  <c r="L387" i="1"/>
  <c r="P386" i="1"/>
  <c r="O386" i="1"/>
  <c r="M386" i="1"/>
  <c r="L386" i="1"/>
  <c r="P385" i="1"/>
  <c r="O385" i="1"/>
  <c r="M385" i="1"/>
  <c r="L385" i="1"/>
  <c r="P383" i="1"/>
  <c r="O383" i="1"/>
  <c r="M383" i="1"/>
  <c r="L383" i="1"/>
  <c r="P382" i="1"/>
  <c r="O382" i="1"/>
  <c r="M382" i="1"/>
  <c r="L382" i="1"/>
  <c r="P381" i="1"/>
  <c r="O381" i="1"/>
  <c r="M381" i="1"/>
  <c r="L381" i="1"/>
  <c r="P380" i="1"/>
  <c r="O380" i="1"/>
  <c r="M380" i="1"/>
  <c r="L380" i="1"/>
  <c r="P379" i="1"/>
  <c r="O379" i="1"/>
  <c r="M379" i="1"/>
  <c r="L379" i="1"/>
  <c r="P378" i="1"/>
  <c r="P377" i="1" s="1"/>
  <c r="O378" i="1"/>
  <c r="M378" i="1"/>
  <c r="L378" i="1"/>
  <c r="P376" i="1"/>
  <c r="O376" i="1"/>
  <c r="M376" i="1"/>
  <c r="L376" i="1"/>
  <c r="P375" i="1"/>
  <c r="O375" i="1"/>
  <c r="M375" i="1"/>
  <c r="L375" i="1"/>
  <c r="P374" i="1"/>
  <c r="O374" i="1"/>
  <c r="M374" i="1"/>
  <c r="L374" i="1"/>
  <c r="P373" i="1"/>
  <c r="O373" i="1"/>
  <c r="M373" i="1"/>
  <c r="L373" i="1"/>
  <c r="P372" i="1"/>
  <c r="O372" i="1"/>
  <c r="M372" i="1"/>
  <c r="L372" i="1"/>
  <c r="P367" i="1"/>
  <c r="O367" i="1"/>
  <c r="M367" i="1"/>
  <c r="L367" i="1"/>
  <c r="P366" i="1"/>
  <c r="O366" i="1"/>
  <c r="M366" i="1"/>
  <c r="L366" i="1"/>
  <c r="P365" i="1"/>
  <c r="O365" i="1"/>
  <c r="M365" i="1"/>
  <c r="L365" i="1"/>
  <c r="P364" i="1"/>
  <c r="O364" i="1"/>
  <c r="M364" i="1"/>
  <c r="L364" i="1"/>
  <c r="P363" i="1"/>
  <c r="O363" i="1"/>
  <c r="M363" i="1"/>
  <c r="L363" i="1"/>
  <c r="P360" i="1"/>
  <c r="O360" i="1"/>
  <c r="M360" i="1"/>
  <c r="L360" i="1"/>
  <c r="P359" i="1"/>
  <c r="O359" i="1"/>
  <c r="M359" i="1"/>
  <c r="L359" i="1"/>
  <c r="P358" i="1"/>
  <c r="O358" i="1"/>
  <c r="M358" i="1"/>
  <c r="L358" i="1"/>
  <c r="P357" i="1"/>
  <c r="O357" i="1"/>
  <c r="M357" i="1"/>
  <c r="L357" i="1"/>
  <c r="P356" i="1"/>
  <c r="O356" i="1"/>
  <c r="M356" i="1"/>
  <c r="L356" i="1"/>
  <c r="P355" i="1"/>
  <c r="O355" i="1"/>
  <c r="M355" i="1"/>
  <c r="L355" i="1"/>
  <c r="P354" i="1"/>
  <c r="O354" i="1"/>
  <c r="M354" i="1"/>
  <c r="L354" i="1"/>
  <c r="N390" i="1"/>
  <c r="K390" i="1"/>
  <c r="N399" i="1"/>
  <c r="K396" i="1"/>
  <c r="N389" i="1"/>
  <c r="K388" i="1"/>
  <c r="N387" i="1"/>
  <c r="K387" i="1"/>
  <c r="N386" i="1"/>
  <c r="N413" i="1"/>
  <c r="K413" i="1"/>
  <c r="N398" i="1"/>
  <c r="K398" i="1"/>
  <c r="N395" i="1"/>
  <c r="N392" i="1"/>
  <c r="K392" i="1"/>
  <c r="N385" i="1"/>
  <c r="K385" i="1"/>
  <c r="N410" i="1"/>
  <c r="K410" i="1"/>
  <c r="N383" i="1"/>
  <c r="K383" i="1"/>
  <c r="K405" i="1"/>
  <c r="N382" i="1"/>
  <c r="K382" i="1"/>
  <c r="N381" i="1"/>
  <c r="N380" i="1"/>
  <c r="K380" i="1"/>
  <c r="N379" i="1"/>
  <c r="N404" i="1"/>
  <c r="N378" i="1"/>
  <c r="K378" i="1"/>
  <c r="N412" i="1"/>
  <c r="K412" i="1"/>
  <c r="N393" i="1"/>
  <c r="K393" i="1"/>
  <c r="N403" i="1"/>
  <c r="N376" i="1"/>
  <c r="K376" i="1"/>
  <c r="N402" i="1"/>
  <c r="K402" i="1"/>
  <c r="N375" i="1"/>
  <c r="K401" i="1"/>
  <c r="N358" i="1"/>
  <c r="K358" i="1"/>
  <c r="N374" i="1"/>
  <c r="K374" i="1"/>
  <c r="N356" i="1"/>
  <c r="K356" i="1"/>
  <c r="K355" i="1"/>
  <c r="N357" i="1"/>
  <c r="K357" i="1"/>
  <c r="P432" i="1"/>
  <c r="O432" i="1"/>
  <c r="N373" i="1"/>
  <c r="K373" i="1"/>
  <c r="N400" i="1"/>
  <c r="N372" i="1"/>
  <c r="K372" i="1"/>
  <c r="P416" i="1"/>
  <c r="O416" i="1"/>
  <c r="N441" i="1"/>
  <c r="K441" i="1"/>
  <c r="P440" i="1"/>
  <c r="O440" i="1"/>
  <c r="M440" i="1"/>
  <c r="L440" i="1"/>
  <c r="N367" i="1"/>
  <c r="K367" i="1"/>
  <c r="N406" i="1"/>
  <c r="K406" i="1"/>
  <c r="P433" i="1"/>
  <c r="O433" i="1"/>
  <c r="M433" i="1"/>
  <c r="L433" i="1"/>
  <c r="N360" i="1"/>
  <c r="K360" i="1"/>
  <c r="N364" i="1"/>
  <c r="K364" i="1"/>
  <c r="K363" i="1"/>
  <c r="E354" i="1"/>
  <c r="F354" i="1"/>
  <c r="H354" i="1"/>
  <c r="I354" i="1"/>
  <c r="E355" i="1"/>
  <c r="F355" i="1"/>
  <c r="H355" i="1"/>
  <c r="I355" i="1"/>
  <c r="E356" i="1"/>
  <c r="F356" i="1"/>
  <c r="H356" i="1"/>
  <c r="I356" i="1"/>
  <c r="E357" i="1"/>
  <c r="F357" i="1"/>
  <c r="H357" i="1"/>
  <c r="I357" i="1"/>
  <c r="E358" i="1"/>
  <c r="F358" i="1"/>
  <c r="H358" i="1"/>
  <c r="I358" i="1"/>
  <c r="E359" i="1"/>
  <c r="F359" i="1"/>
  <c r="H359" i="1"/>
  <c r="I359" i="1"/>
  <c r="E360" i="1"/>
  <c r="F360" i="1"/>
  <c r="H360" i="1"/>
  <c r="I360" i="1"/>
  <c r="E363" i="1"/>
  <c r="F363" i="1"/>
  <c r="H363" i="1"/>
  <c r="I363" i="1"/>
  <c r="E364" i="1"/>
  <c r="F364" i="1"/>
  <c r="H364" i="1"/>
  <c r="I364" i="1"/>
  <c r="E365" i="1"/>
  <c r="F365" i="1"/>
  <c r="H365" i="1"/>
  <c r="I365" i="1"/>
  <c r="E366" i="1"/>
  <c r="F366" i="1"/>
  <c r="H366" i="1"/>
  <c r="I366" i="1"/>
  <c r="E367" i="1"/>
  <c r="F367" i="1"/>
  <c r="H367" i="1"/>
  <c r="I367" i="1"/>
  <c r="E372" i="1"/>
  <c r="F372" i="1"/>
  <c r="H372" i="1"/>
  <c r="I372" i="1"/>
  <c r="E373" i="1"/>
  <c r="F373" i="1"/>
  <c r="H373" i="1"/>
  <c r="I373" i="1"/>
  <c r="E374" i="1"/>
  <c r="F374" i="1"/>
  <c r="H374" i="1"/>
  <c r="I374" i="1"/>
  <c r="E375" i="1"/>
  <c r="F375" i="1"/>
  <c r="H375" i="1"/>
  <c r="I375" i="1"/>
  <c r="E376" i="1"/>
  <c r="F376" i="1"/>
  <c r="H376" i="1"/>
  <c r="I376" i="1"/>
  <c r="E378" i="1"/>
  <c r="F378" i="1"/>
  <c r="H378" i="1"/>
  <c r="I378" i="1"/>
  <c r="E379" i="1"/>
  <c r="F379" i="1"/>
  <c r="H379" i="1"/>
  <c r="I379" i="1"/>
  <c r="E380" i="1"/>
  <c r="F380" i="1"/>
  <c r="H380" i="1"/>
  <c r="I380" i="1"/>
  <c r="E381" i="1"/>
  <c r="F381" i="1"/>
  <c r="H381" i="1"/>
  <c r="I381" i="1"/>
  <c r="E382" i="1"/>
  <c r="F382" i="1"/>
  <c r="H382" i="1"/>
  <c r="I382" i="1"/>
  <c r="E383" i="1"/>
  <c r="F383" i="1"/>
  <c r="H383" i="1"/>
  <c r="I383" i="1"/>
  <c r="E385" i="1"/>
  <c r="F385" i="1"/>
  <c r="H385" i="1"/>
  <c r="I385" i="1"/>
  <c r="E386" i="1"/>
  <c r="F386" i="1"/>
  <c r="H386" i="1"/>
  <c r="I386" i="1"/>
  <c r="E387" i="1"/>
  <c r="F387" i="1"/>
  <c r="H387" i="1"/>
  <c r="I387" i="1"/>
  <c r="E388" i="1"/>
  <c r="F388" i="1"/>
  <c r="H388" i="1"/>
  <c r="I388" i="1"/>
  <c r="E389" i="1"/>
  <c r="F389" i="1"/>
  <c r="H389" i="1"/>
  <c r="I389" i="1"/>
  <c r="E390" i="1"/>
  <c r="F390" i="1"/>
  <c r="H390" i="1"/>
  <c r="I390" i="1"/>
  <c r="E392" i="1"/>
  <c r="F392" i="1"/>
  <c r="H392" i="1"/>
  <c r="I392" i="1"/>
  <c r="E393" i="1"/>
  <c r="F393" i="1"/>
  <c r="H393" i="1"/>
  <c r="I393" i="1"/>
  <c r="E395" i="1"/>
  <c r="F395" i="1"/>
  <c r="H395" i="1"/>
  <c r="I395" i="1"/>
  <c r="E396" i="1"/>
  <c r="F396" i="1"/>
  <c r="H396" i="1"/>
  <c r="I396" i="1"/>
  <c r="E398" i="1"/>
  <c r="F398" i="1"/>
  <c r="H398" i="1"/>
  <c r="I398" i="1"/>
  <c r="E399" i="1"/>
  <c r="F399" i="1"/>
  <c r="H399" i="1"/>
  <c r="I399" i="1"/>
  <c r="E400" i="1"/>
  <c r="F400" i="1"/>
  <c r="H400" i="1"/>
  <c r="I400" i="1"/>
  <c r="E401" i="1"/>
  <c r="F401" i="1"/>
  <c r="H401" i="1"/>
  <c r="I401" i="1"/>
  <c r="E402" i="1"/>
  <c r="F402" i="1"/>
  <c r="H402" i="1"/>
  <c r="I402" i="1"/>
  <c r="E403" i="1"/>
  <c r="F403" i="1"/>
  <c r="H403" i="1"/>
  <c r="I403" i="1"/>
  <c r="E404" i="1"/>
  <c r="F404" i="1"/>
  <c r="H404" i="1"/>
  <c r="I404" i="1"/>
  <c r="E405" i="1"/>
  <c r="F405" i="1"/>
  <c r="H405" i="1"/>
  <c r="I405" i="1"/>
  <c r="E406" i="1"/>
  <c r="F406" i="1"/>
  <c r="H406" i="1"/>
  <c r="I406" i="1"/>
  <c r="E408" i="1"/>
  <c r="F408" i="1"/>
  <c r="H408" i="1"/>
  <c r="I408" i="1"/>
  <c r="E409" i="1"/>
  <c r="F409" i="1"/>
  <c r="H409" i="1"/>
  <c r="I409" i="1"/>
  <c r="E410" i="1"/>
  <c r="F410" i="1"/>
  <c r="H410" i="1"/>
  <c r="I410" i="1"/>
  <c r="E412" i="1"/>
  <c r="F412" i="1"/>
  <c r="H412" i="1"/>
  <c r="I412" i="1"/>
  <c r="E413" i="1"/>
  <c r="F413" i="1"/>
  <c r="H413" i="1"/>
  <c r="I413" i="1"/>
  <c r="E418" i="1"/>
  <c r="F418" i="1"/>
  <c r="H418" i="1"/>
  <c r="H416" i="1" s="1"/>
  <c r="I418" i="1"/>
  <c r="I416" i="1" s="1"/>
  <c r="E420" i="1"/>
  <c r="F420" i="1"/>
  <c r="H420" i="1"/>
  <c r="I420" i="1"/>
  <c r="E421" i="1"/>
  <c r="F421" i="1"/>
  <c r="H421" i="1"/>
  <c r="I421" i="1"/>
  <c r="E441" i="1"/>
  <c r="F441" i="1"/>
  <c r="H441" i="1"/>
  <c r="I441" i="1"/>
  <c r="E442" i="1"/>
  <c r="F442" i="1"/>
  <c r="H442" i="1"/>
  <c r="I442" i="1"/>
  <c r="E275" i="1"/>
  <c r="F275" i="1"/>
  <c r="G388" i="1"/>
  <c r="D277" i="1"/>
  <c r="D276" i="1"/>
  <c r="D344" i="1"/>
  <c r="D343" i="1" s="1"/>
  <c r="D342" i="1" s="1"/>
  <c r="D323" i="1"/>
  <c r="D293" i="1"/>
  <c r="G390" i="1"/>
  <c r="D292" i="1"/>
  <c r="D291" i="1"/>
  <c r="D290" i="1"/>
  <c r="G399" i="1"/>
  <c r="D287" i="1"/>
  <c r="D399" i="1" s="1"/>
  <c r="G396" i="1"/>
  <c r="D286" i="1"/>
  <c r="G389" i="1"/>
  <c r="D285" i="1"/>
  <c r="D389" i="1" s="1"/>
  <c r="D284" i="1"/>
  <c r="D283" i="1"/>
  <c r="D282" i="1"/>
  <c r="D279" i="1"/>
  <c r="D278" i="1"/>
  <c r="G387" i="1"/>
  <c r="D274" i="1"/>
  <c r="D387" i="1" s="1"/>
  <c r="D273" i="1"/>
  <c r="G386" i="1"/>
  <c r="D271" i="1"/>
  <c r="D270" i="1"/>
  <c r="G413" i="1"/>
  <c r="D268" i="1"/>
  <c r="G398" i="1"/>
  <c r="D267" i="1"/>
  <c r="G395" i="1"/>
  <c r="D266" i="1"/>
  <c r="G392" i="1"/>
  <c r="D265" i="1"/>
  <c r="G385" i="1"/>
  <c r="D264" i="1"/>
  <c r="G410" i="1"/>
  <c r="D263" i="1"/>
  <c r="D258" i="1"/>
  <c r="G383" i="1"/>
  <c r="D254" i="1"/>
  <c r="D253" i="1"/>
  <c r="D252" i="1"/>
  <c r="G405" i="1"/>
  <c r="D249" i="1"/>
  <c r="D405" i="1" s="1"/>
  <c r="G382" i="1"/>
  <c r="D248" i="1"/>
  <c r="D247" i="1"/>
  <c r="D246" i="1"/>
  <c r="D245" i="1"/>
  <c r="D242" i="1"/>
  <c r="D381" i="1" s="1"/>
  <c r="D241" i="1"/>
  <c r="D239" i="1"/>
  <c r="G380" i="1"/>
  <c r="D238" i="1"/>
  <c r="D237" i="1"/>
  <c r="G379" i="1"/>
  <c r="D235" i="1"/>
  <c r="D234" i="1"/>
  <c r="G404" i="1"/>
  <c r="D232" i="1"/>
  <c r="G378" i="1"/>
  <c r="D231" i="1"/>
  <c r="G412" i="1"/>
  <c r="D230" i="1"/>
  <c r="G409" i="1"/>
  <c r="D229" i="1"/>
  <c r="D228" i="1"/>
  <c r="D226" i="1"/>
  <c r="G393" i="1"/>
  <c r="D223" i="1"/>
  <c r="D393" i="1" s="1"/>
  <c r="G403" i="1"/>
  <c r="D222" i="1"/>
  <c r="G376" i="1"/>
  <c r="D221" i="1"/>
  <c r="D220" i="1"/>
  <c r="D219" i="1"/>
  <c r="D216" i="1"/>
  <c r="D215" i="1"/>
  <c r="G402" i="1"/>
  <c r="D214" i="1"/>
  <c r="D402" i="1" s="1"/>
  <c r="G375" i="1"/>
  <c r="D213" i="1"/>
  <c r="D212" i="1"/>
  <c r="D211" i="1"/>
  <c r="D209" i="1"/>
  <c r="G401" i="1"/>
  <c r="D206" i="1"/>
  <c r="G358" i="1"/>
  <c r="D205" i="1"/>
  <c r="G374" i="1"/>
  <c r="D204" i="1"/>
  <c r="G356" i="1"/>
  <c r="D203" i="1"/>
  <c r="G355" i="1"/>
  <c r="D202" i="1"/>
  <c r="D355" i="1" s="1"/>
  <c r="G357" i="1"/>
  <c r="D201" i="1"/>
  <c r="D199" i="1"/>
  <c r="D198" i="1"/>
  <c r="D197" i="1"/>
  <c r="G373" i="1"/>
  <c r="D192" i="1"/>
  <c r="D191" i="1"/>
  <c r="G400" i="1"/>
  <c r="D188" i="1"/>
  <c r="D400" i="1" s="1"/>
  <c r="G372" i="1"/>
  <c r="D187" i="1"/>
  <c r="D186" i="1"/>
  <c r="D183" i="1"/>
  <c r="D182" i="1"/>
  <c r="D181" i="1"/>
  <c r="D179" i="1"/>
  <c r="D178" i="1"/>
  <c r="D177" i="1"/>
  <c r="D174" i="1"/>
  <c r="D173" i="1"/>
  <c r="D171" i="1"/>
  <c r="D170" i="1"/>
  <c r="D169" i="1"/>
  <c r="D167" i="1"/>
  <c r="D166" i="1"/>
  <c r="D165" i="1"/>
  <c r="D164" i="1"/>
  <c r="D162" i="1"/>
  <c r="D161" i="1"/>
  <c r="D159" i="1"/>
  <c r="D158" i="1"/>
  <c r="D156" i="1"/>
  <c r="D155" i="1"/>
  <c r="D148" i="1"/>
  <c r="D147" i="1"/>
  <c r="D146" i="1"/>
  <c r="D144" i="1"/>
  <c r="D143" i="1"/>
  <c r="D142" i="1"/>
  <c r="D141" i="1"/>
  <c r="D140" i="1"/>
  <c r="D137" i="1"/>
  <c r="D136" i="1"/>
  <c r="D135" i="1"/>
  <c r="D132" i="1"/>
  <c r="D131" i="1"/>
  <c r="D129" i="1"/>
  <c r="D128" i="1"/>
  <c r="D126" i="1"/>
  <c r="D125" i="1"/>
  <c r="D123" i="1"/>
  <c r="D122" i="1"/>
  <c r="D120" i="1"/>
  <c r="D119" i="1"/>
  <c r="D117" i="1"/>
  <c r="D116" i="1"/>
  <c r="D114" i="1"/>
  <c r="D113" i="1"/>
  <c r="G442" i="1"/>
  <c r="D107" i="1"/>
  <c r="G441" i="1"/>
  <c r="D106" i="1"/>
  <c r="G366" i="1"/>
  <c r="D105" i="1"/>
  <c r="D104" i="1"/>
  <c r="D101" i="1"/>
  <c r="D100" i="1"/>
  <c r="G367" i="1"/>
  <c r="D98" i="1"/>
  <c r="G406" i="1"/>
  <c r="D97" i="1"/>
  <c r="D108" i="1"/>
  <c r="G360" i="1"/>
  <c r="D109" i="1"/>
  <c r="G364" i="1"/>
  <c r="D95" i="1"/>
  <c r="G363" i="1"/>
  <c r="D94" i="1"/>
  <c r="D93" i="1"/>
  <c r="D74" i="1"/>
  <c r="D35" i="1"/>
  <c r="E35" i="1"/>
  <c r="F35" i="1"/>
  <c r="E60" i="1"/>
  <c r="F60" i="1"/>
  <c r="E74" i="1"/>
  <c r="E73" i="1" s="1"/>
  <c r="F74" i="1"/>
  <c r="F73" i="1" s="1"/>
  <c r="E96" i="1"/>
  <c r="F96" i="1"/>
  <c r="H433" i="1"/>
  <c r="I433" i="1"/>
  <c r="E99" i="1"/>
  <c r="F99" i="1"/>
  <c r="E103" i="1"/>
  <c r="F103" i="1"/>
  <c r="H440" i="1"/>
  <c r="E112" i="1"/>
  <c r="F112" i="1"/>
  <c r="E115" i="1"/>
  <c r="F115" i="1"/>
  <c r="E118" i="1"/>
  <c r="F118" i="1"/>
  <c r="E121" i="1"/>
  <c r="F121" i="1"/>
  <c r="E124" i="1"/>
  <c r="F124" i="1"/>
  <c r="E127" i="1"/>
  <c r="F127" i="1"/>
  <c r="E130" i="1"/>
  <c r="F130" i="1"/>
  <c r="E134" i="1"/>
  <c r="F134" i="1"/>
  <c r="E139" i="1"/>
  <c r="F139" i="1"/>
  <c r="E145" i="1"/>
  <c r="F145" i="1"/>
  <c r="E154" i="1"/>
  <c r="F154" i="1"/>
  <c r="E157" i="1"/>
  <c r="F157" i="1"/>
  <c r="E160" i="1"/>
  <c r="F160" i="1"/>
  <c r="E163" i="1"/>
  <c r="F163" i="1"/>
  <c r="E168" i="1"/>
  <c r="F168" i="1"/>
  <c r="E172" i="1"/>
  <c r="F172" i="1"/>
  <c r="E176" i="1"/>
  <c r="F176" i="1"/>
  <c r="E180" i="1"/>
  <c r="F180" i="1"/>
  <c r="E185" i="1"/>
  <c r="F185" i="1"/>
  <c r="E190" i="1"/>
  <c r="F190" i="1"/>
  <c r="E195" i="1"/>
  <c r="F195" i="1"/>
  <c r="E210" i="1"/>
  <c r="F210" i="1"/>
  <c r="E218" i="1"/>
  <c r="F218" i="1"/>
  <c r="E227" i="1"/>
  <c r="F227" i="1"/>
  <c r="E233" i="1"/>
  <c r="F233" i="1"/>
  <c r="E236" i="1"/>
  <c r="F236" i="1"/>
  <c r="E240" i="1"/>
  <c r="F240" i="1"/>
  <c r="E244" i="1"/>
  <c r="F244" i="1"/>
  <c r="E251" i="1"/>
  <c r="F251" i="1"/>
  <c r="E259" i="1"/>
  <c r="F259" i="1"/>
  <c r="E269" i="1"/>
  <c r="F269" i="1"/>
  <c r="E272" i="1"/>
  <c r="F272" i="1"/>
  <c r="E281" i="1"/>
  <c r="F281" i="1"/>
  <c r="E289" i="1"/>
  <c r="F289" i="1"/>
  <c r="E323" i="1"/>
  <c r="E322" i="1" s="1"/>
  <c r="E321" i="1" s="1"/>
  <c r="E320" i="1" s="1"/>
  <c r="E319" i="1" s="1"/>
  <c r="E318" i="1" s="1"/>
  <c r="F323" i="1"/>
  <c r="F322" i="1" s="1"/>
  <c r="F321" i="1" s="1"/>
  <c r="F320" i="1" s="1"/>
  <c r="F319" i="1" s="1"/>
  <c r="F318" i="1" s="1"/>
  <c r="L377" i="1" l="1"/>
  <c r="L394" i="1"/>
  <c r="P394" i="1"/>
  <c r="M391" i="1"/>
  <c r="P407" i="1"/>
  <c r="C7" i="2"/>
  <c r="O407" i="1"/>
  <c r="I434" i="1"/>
  <c r="L407" i="1"/>
  <c r="O419" i="1"/>
  <c r="D357" i="1"/>
  <c r="D358" i="1"/>
  <c r="D390" i="1"/>
  <c r="D398" i="1"/>
  <c r="D395" i="1"/>
  <c r="D385" i="1"/>
  <c r="D382" i="1"/>
  <c r="D380" i="1"/>
  <c r="D412" i="1"/>
  <c r="M407" i="1"/>
  <c r="M419" i="1"/>
  <c r="M415" i="1" s="1"/>
  <c r="D409" i="1"/>
  <c r="D375" i="1"/>
  <c r="F208" i="1"/>
  <c r="E208" i="1"/>
  <c r="D373" i="1"/>
  <c r="D360" i="1"/>
  <c r="D359" i="1"/>
  <c r="D441" i="1"/>
  <c r="F102" i="1"/>
  <c r="E102" i="1"/>
  <c r="D366" i="1"/>
  <c r="G7" i="1"/>
  <c r="G20" i="1"/>
  <c r="D367" i="1"/>
  <c r="E433" i="1"/>
  <c r="D406" i="1"/>
  <c r="F433" i="1"/>
  <c r="F425" i="1" s="1"/>
  <c r="D364" i="1"/>
  <c r="D363" i="1"/>
  <c r="D73" i="1"/>
  <c r="D196" i="1"/>
  <c r="J89" i="1"/>
  <c r="D297" i="1"/>
  <c r="L419" i="1"/>
  <c r="G436" i="1"/>
  <c r="G417" i="1"/>
  <c r="P443" i="1"/>
  <c r="N370" i="1"/>
  <c r="N371" i="1"/>
  <c r="D437" i="1"/>
  <c r="D370" i="1"/>
  <c r="D371" i="1"/>
  <c r="K417" i="1"/>
  <c r="J279" i="1"/>
  <c r="J288" i="1"/>
  <c r="H428" i="1"/>
  <c r="K365" i="1"/>
  <c r="K437" i="1"/>
  <c r="F133" i="1"/>
  <c r="F428" i="1"/>
  <c r="O428" i="1"/>
  <c r="E133" i="1"/>
  <c r="E428" i="1"/>
  <c r="G365" i="1"/>
  <c r="G362" i="1" s="1"/>
  <c r="G437" i="1"/>
  <c r="G370" i="1"/>
  <c r="G371" i="1"/>
  <c r="K436" i="1"/>
  <c r="N369" i="1"/>
  <c r="N429" i="1"/>
  <c r="P428" i="1"/>
  <c r="N417" i="1"/>
  <c r="M443" i="1"/>
  <c r="G369" i="1"/>
  <c r="G429" i="1"/>
  <c r="M428" i="1"/>
  <c r="N365" i="1"/>
  <c r="N437" i="1"/>
  <c r="K369" i="1"/>
  <c r="K429" i="1"/>
  <c r="I428" i="1"/>
  <c r="D436" i="1"/>
  <c r="D369" i="1"/>
  <c r="D429" i="1"/>
  <c r="D417" i="1"/>
  <c r="N436" i="1"/>
  <c r="L428" i="1"/>
  <c r="K370" i="1"/>
  <c r="K371" i="1"/>
  <c r="J335" i="1"/>
  <c r="C276" i="1"/>
  <c r="C31" i="1"/>
  <c r="C33" i="1"/>
  <c r="C271" i="1"/>
  <c r="C313" i="1"/>
  <c r="J301" i="1"/>
  <c r="J303" i="1"/>
  <c r="J313" i="1"/>
  <c r="C274" i="1"/>
  <c r="C326" i="1"/>
  <c r="J317" i="1"/>
  <c r="F257" i="1"/>
  <c r="E257" i="1"/>
  <c r="G421" i="1"/>
  <c r="J237" i="1"/>
  <c r="C41" i="1"/>
  <c r="D124" i="1"/>
  <c r="D130" i="1"/>
  <c r="D240" i="1"/>
  <c r="J72" i="1"/>
  <c r="J141" i="1"/>
  <c r="J156" i="1"/>
  <c r="J253" i="1"/>
  <c r="J255" i="1"/>
  <c r="F225" i="1"/>
  <c r="E225" i="1"/>
  <c r="K439" i="1"/>
  <c r="K440" i="1"/>
  <c r="C268" i="1"/>
  <c r="J28" i="1"/>
  <c r="J30" i="1"/>
  <c r="J32" i="1"/>
  <c r="J40" i="1"/>
  <c r="J42" i="1"/>
  <c r="J50" i="1"/>
  <c r="J68" i="1"/>
  <c r="J123" i="1"/>
  <c r="J161" i="1"/>
  <c r="J164" i="1"/>
  <c r="J166" i="1"/>
  <c r="J169" i="1"/>
  <c r="J178" i="1"/>
  <c r="J189" i="1"/>
  <c r="J234" i="1"/>
  <c r="J328" i="1"/>
  <c r="F138" i="1"/>
  <c r="E138" i="1"/>
  <c r="I439" i="1"/>
  <c r="O439" i="1"/>
  <c r="H439" i="1"/>
  <c r="P439" i="1"/>
  <c r="J143" i="1"/>
  <c r="F439" i="1"/>
  <c r="C36" i="1"/>
  <c r="G354" i="1"/>
  <c r="L439" i="1"/>
  <c r="E439" i="1"/>
  <c r="C270" i="1"/>
  <c r="J46" i="1"/>
  <c r="M439" i="1"/>
  <c r="J67" i="1"/>
  <c r="J173" i="1"/>
  <c r="J302" i="1"/>
  <c r="J84" i="1"/>
  <c r="J100" i="1"/>
  <c r="C84" i="1"/>
  <c r="D330" i="1"/>
  <c r="D329" i="1" s="1"/>
  <c r="D13" i="1" s="1"/>
  <c r="F434" i="1"/>
  <c r="J31" i="1"/>
  <c r="J49" i="1"/>
  <c r="J71" i="1"/>
  <c r="J116" i="1"/>
  <c r="J128" i="1"/>
  <c r="J280" i="1"/>
  <c r="J290" i="1"/>
  <c r="F416" i="1"/>
  <c r="E384" i="1"/>
  <c r="E434" i="1"/>
  <c r="J33" i="1"/>
  <c r="J43" i="1"/>
  <c r="J277" i="1"/>
  <c r="I391" i="1"/>
  <c r="C28" i="1"/>
  <c r="C30" i="1"/>
  <c r="G418" i="1"/>
  <c r="C312" i="1"/>
  <c r="C314" i="1"/>
  <c r="C328" i="1"/>
  <c r="C277" i="1"/>
  <c r="J66" i="1"/>
  <c r="K354" i="1"/>
  <c r="J107" i="1"/>
  <c r="J359" i="1" s="1"/>
  <c r="J140" i="1"/>
  <c r="J198" i="1"/>
  <c r="J212" i="1"/>
  <c r="J408" i="1" s="1"/>
  <c r="J216" i="1"/>
  <c r="J219" i="1"/>
  <c r="J223" i="1"/>
  <c r="J393" i="1" s="1"/>
  <c r="J246" i="1"/>
  <c r="J314" i="1"/>
  <c r="I394" i="1"/>
  <c r="D388" i="1"/>
  <c r="C26" i="1"/>
  <c r="C51" i="1"/>
  <c r="C57" i="1"/>
  <c r="C59" i="1"/>
  <c r="C67" i="1"/>
  <c r="C77" i="1"/>
  <c r="C114" i="1"/>
  <c r="C123" i="1"/>
  <c r="C132" i="1"/>
  <c r="C178" i="1"/>
  <c r="C187" i="1"/>
  <c r="C197" i="1"/>
  <c r="C204" i="1"/>
  <c r="C212" i="1"/>
  <c r="C219" i="1"/>
  <c r="C226" i="1"/>
  <c r="C231" i="1"/>
  <c r="C239" i="1"/>
  <c r="C254" i="1"/>
  <c r="C265" i="1"/>
  <c r="C267" i="1"/>
  <c r="C282" i="1"/>
  <c r="C284" i="1"/>
  <c r="C288" i="1"/>
  <c r="C291" i="1"/>
  <c r="C295" i="1"/>
  <c r="C308" i="1"/>
  <c r="G359" i="1"/>
  <c r="J64" i="1"/>
  <c r="J85" i="1"/>
  <c r="J106" i="1"/>
  <c r="J177" i="1"/>
  <c r="J204" i="1"/>
  <c r="J374" i="1" s="1"/>
  <c r="J207" i="1"/>
  <c r="K418" i="1"/>
  <c r="J250" i="1"/>
  <c r="N391" i="1"/>
  <c r="J276" i="1"/>
  <c r="J294" i="1"/>
  <c r="P434" i="1"/>
  <c r="M377" i="1"/>
  <c r="M394" i="1"/>
  <c r="D442" i="1"/>
  <c r="D421" i="1"/>
  <c r="F397" i="1"/>
  <c r="F394" i="1"/>
  <c r="F391" i="1"/>
  <c r="H434" i="1"/>
  <c r="J59" i="1"/>
  <c r="J65" i="1"/>
  <c r="J75" i="1"/>
  <c r="J74" i="1" s="1"/>
  <c r="J73" i="1" s="1"/>
  <c r="J11" i="1" s="1"/>
  <c r="J93" i="1"/>
  <c r="J108" i="1"/>
  <c r="J142" i="1"/>
  <c r="J144" i="1"/>
  <c r="J179" i="1"/>
  <c r="J211" i="1"/>
  <c r="J215" i="1"/>
  <c r="J220" i="1"/>
  <c r="J222" i="1"/>
  <c r="J403" i="1" s="1"/>
  <c r="J274" i="1"/>
  <c r="J387" i="1" s="1"/>
  <c r="J293" i="1"/>
  <c r="J295" i="1"/>
  <c r="J307" i="1"/>
  <c r="J310" i="1"/>
  <c r="J326" i="1"/>
  <c r="J334" i="1"/>
  <c r="J345" i="1"/>
  <c r="J344" i="1" s="1"/>
  <c r="J343" i="1" s="1"/>
  <c r="J342" i="1" s="1"/>
  <c r="L391" i="1"/>
  <c r="F435" i="1"/>
  <c r="C38" i="1"/>
  <c r="C101" i="1"/>
  <c r="C141" i="1"/>
  <c r="C159" i="1"/>
  <c r="D163" i="1"/>
  <c r="C193" i="1"/>
  <c r="C203" i="1"/>
  <c r="C211" i="1"/>
  <c r="C217" i="1"/>
  <c r="C224" i="1"/>
  <c r="C232" i="1"/>
  <c r="C283" i="1"/>
  <c r="C290" i="1"/>
  <c r="C307" i="1"/>
  <c r="C310" i="1"/>
  <c r="C334" i="1"/>
  <c r="D418" i="1"/>
  <c r="E394" i="1"/>
  <c r="E391" i="1"/>
  <c r="F384" i="1"/>
  <c r="H362" i="1"/>
  <c r="J29" i="1"/>
  <c r="J41" i="1"/>
  <c r="J56" i="1"/>
  <c r="J61" i="1"/>
  <c r="J60" i="1" s="1"/>
  <c r="J69" i="1"/>
  <c r="J77" i="1"/>
  <c r="J86" i="1"/>
  <c r="J105" i="1"/>
  <c r="J366" i="1" s="1"/>
  <c r="J120" i="1"/>
  <c r="J131" i="1"/>
  <c r="J136" i="1"/>
  <c r="J162" i="1"/>
  <c r="J174" i="1"/>
  <c r="J209" i="1"/>
  <c r="J224" i="1"/>
  <c r="J228" i="1"/>
  <c r="J230" i="1"/>
  <c r="J412" i="1" s="1"/>
  <c r="J258" i="1"/>
  <c r="J263" i="1"/>
  <c r="J410" i="1" s="1"/>
  <c r="J285" i="1"/>
  <c r="J389" i="1" s="1"/>
  <c r="J316" i="1"/>
  <c r="O384" i="1"/>
  <c r="P419" i="1"/>
  <c r="P415" i="1" s="1"/>
  <c r="G434" i="1"/>
  <c r="I362" i="1"/>
  <c r="J34" i="1"/>
  <c r="J98" i="1"/>
  <c r="J367" i="1" s="1"/>
  <c r="J117" i="1"/>
  <c r="J159" i="1"/>
  <c r="J167" i="1"/>
  <c r="J171" i="1"/>
  <c r="J183" i="1"/>
  <c r="J193" i="1"/>
  <c r="J284" i="1"/>
  <c r="J305" i="1"/>
  <c r="J315" i="1"/>
  <c r="O377" i="1"/>
  <c r="J241" i="1"/>
  <c r="E377" i="1"/>
  <c r="D404" i="1"/>
  <c r="D392" i="1"/>
  <c r="D391" i="1" s="1"/>
  <c r="D378" i="1"/>
  <c r="F362" i="1"/>
  <c r="J52" i="1"/>
  <c r="J83" i="1"/>
  <c r="J110" i="1"/>
  <c r="J114" i="1"/>
  <c r="J126" i="1"/>
  <c r="J242" i="1"/>
  <c r="J381" i="1" s="1"/>
  <c r="J306" i="1"/>
  <c r="J311" i="1"/>
  <c r="L362" i="1"/>
  <c r="P384" i="1"/>
  <c r="D157" i="1"/>
  <c r="C142" i="1"/>
  <c r="I432" i="1"/>
  <c r="I431" i="1" s="1"/>
  <c r="H419" i="1"/>
  <c r="H415" i="1" s="1"/>
  <c r="I407" i="1"/>
  <c r="E362" i="1"/>
  <c r="M362" i="1"/>
  <c r="N388" i="1"/>
  <c r="N384" i="1" s="1"/>
  <c r="F377" i="1"/>
  <c r="C46" i="1"/>
  <c r="C52" i="1"/>
  <c r="C108" i="1"/>
  <c r="C116" i="1"/>
  <c r="C135" i="1"/>
  <c r="D160" i="1"/>
  <c r="C179" i="1"/>
  <c r="C235" i="1"/>
  <c r="C243" i="1"/>
  <c r="C250" i="1"/>
  <c r="D259" i="1"/>
  <c r="C278" i="1"/>
  <c r="C315" i="1"/>
  <c r="H432" i="1"/>
  <c r="H431" i="1" s="1"/>
  <c r="G420" i="1"/>
  <c r="H407" i="1"/>
  <c r="D365" i="1"/>
  <c r="J47" i="1"/>
  <c r="J58" i="1"/>
  <c r="K433" i="1"/>
  <c r="J104" i="1"/>
  <c r="N420" i="1"/>
  <c r="J247" i="1"/>
  <c r="J291" i="1"/>
  <c r="J312" i="1"/>
  <c r="O362" i="1"/>
  <c r="M384" i="1"/>
  <c r="H438" i="1"/>
  <c r="E416" i="1"/>
  <c r="F432" i="1"/>
  <c r="G408" i="1"/>
  <c r="G407" i="1" s="1"/>
  <c r="G381" i="1"/>
  <c r="G377" i="1" s="1"/>
  <c r="J27" i="1"/>
  <c r="J48" i="1"/>
  <c r="J186" i="1"/>
  <c r="P431" i="1"/>
  <c r="J203" i="1"/>
  <c r="J356" i="1" s="1"/>
  <c r="J217" i="1"/>
  <c r="J235" i="1"/>
  <c r="J379" i="1" s="1"/>
  <c r="J239" i="1"/>
  <c r="J243" i="1"/>
  <c r="J287" i="1"/>
  <c r="J399" i="1" s="1"/>
  <c r="J308" i="1"/>
  <c r="J331" i="1"/>
  <c r="P362" i="1"/>
  <c r="L397" i="1"/>
  <c r="O415" i="1"/>
  <c r="C50" i="1"/>
  <c r="C32" i="1"/>
  <c r="C54" i="1"/>
  <c r="C69" i="1"/>
  <c r="C89" i="1"/>
  <c r="C97" i="1"/>
  <c r="C117" i="1"/>
  <c r="C136" i="1"/>
  <c r="C155" i="1"/>
  <c r="C189" i="1"/>
  <c r="C199" i="1"/>
  <c r="C206" i="1"/>
  <c r="C214" i="1"/>
  <c r="C221" i="1"/>
  <c r="C263" i="1"/>
  <c r="C286" i="1"/>
  <c r="C335" i="1"/>
  <c r="E432" i="1"/>
  <c r="F407" i="1"/>
  <c r="J181" i="1"/>
  <c r="J191" i="1"/>
  <c r="J248" i="1"/>
  <c r="E397" i="1"/>
  <c r="G433" i="1"/>
  <c r="D420" i="1"/>
  <c r="E407" i="1"/>
  <c r="M434" i="1"/>
  <c r="J51" i="1"/>
  <c r="C48" i="1"/>
  <c r="C56" i="1"/>
  <c r="C64" i="1"/>
  <c r="C71" i="1"/>
  <c r="C83" i="1"/>
  <c r="C93" i="1"/>
  <c r="C98" i="1"/>
  <c r="C156" i="1"/>
  <c r="C173" i="1"/>
  <c r="C191" i="1"/>
  <c r="C201" i="1"/>
  <c r="C207" i="1"/>
  <c r="C215" i="1"/>
  <c r="C222" i="1"/>
  <c r="C230" i="1"/>
  <c r="C238" i="1"/>
  <c r="C246" i="1"/>
  <c r="C253" i="1"/>
  <c r="C264" i="1"/>
  <c r="C317" i="1"/>
  <c r="C331" i="1"/>
  <c r="C345" i="1"/>
  <c r="C344" i="1" s="1"/>
  <c r="C343" i="1" s="1"/>
  <c r="C342" i="1" s="1"/>
  <c r="E440" i="1"/>
  <c r="D413" i="1"/>
  <c r="D410" i="1"/>
  <c r="D408" i="1"/>
  <c r="D403" i="1"/>
  <c r="D401" i="1"/>
  <c r="D396" i="1"/>
  <c r="D386" i="1"/>
  <c r="D383" i="1"/>
  <c r="D379" i="1"/>
  <c r="D376" i="1"/>
  <c r="D374" i="1"/>
  <c r="D372" i="1"/>
  <c r="J278" i="1"/>
  <c r="J324" i="1"/>
  <c r="J323" i="1" s="1"/>
  <c r="O397" i="1"/>
  <c r="I397" i="1"/>
  <c r="I384" i="1"/>
  <c r="I377" i="1"/>
  <c r="J63" i="1"/>
  <c r="L416" i="1"/>
  <c r="D210" i="1"/>
  <c r="D139" i="1"/>
  <c r="D304" i="1"/>
  <c r="D309" i="1"/>
  <c r="H397" i="1"/>
  <c r="H394" i="1"/>
  <c r="H391" i="1"/>
  <c r="H384" i="1"/>
  <c r="H377" i="1"/>
  <c r="E438" i="1"/>
  <c r="D356" i="1"/>
  <c r="D354" i="1"/>
  <c r="J158" i="1"/>
  <c r="J214" i="1"/>
  <c r="J402" i="1" s="1"/>
  <c r="J267" i="1"/>
  <c r="O394" i="1"/>
  <c r="I430" i="1"/>
  <c r="H430" i="1"/>
  <c r="F430" i="1"/>
  <c r="F440" i="1"/>
  <c r="I419" i="1"/>
  <c r="I415" i="1" s="1"/>
  <c r="F438" i="1"/>
  <c r="J38" i="1"/>
  <c r="J54" i="1"/>
  <c r="N433" i="1"/>
  <c r="N366" i="1"/>
  <c r="J152" i="1"/>
  <c r="J155" i="1"/>
  <c r="J165" i="1"/>
  <c r="J182" i="1"/>
  <c r="J187" i="1"/>
  <c r="J372" i="1" s="1"/>
  <c r="J199" i="1"/>
  <c r="N421" i="1"/>
  <c r="J226" i="1"/>
  <c r="J245" i="1"/>
  <c r="J36" i="1"/>
  <c r="J35" i="1" s="1"/>
  <c r="J109" i="1"/>
  <c r="J360" i="1" s="1"/>
  <c r="J101" i="1"/>
  <c r="J122" i="1"/>
  <c r="J125" i="1"/>
  <c r="K386" i="1"/>
  <c r="K384" i="1" s="1"/>
  <c r="J271" i="1"/>
  <c r="J386" i="1" s="1"/>
  <c r="F419" i="1"/>
  <c r="J39" i="1"/>
  <c r="J97" i="1"/>
  <c r="J132" i="1"/>
  <c r="J135" i="1"/>
  <c r="K400" i="1"/>
  <c r="J188" i="1"/>
  <c r="J400" i="1" s="1"/>
  <c r="L432" i="1"/>
  <c r="L431" i="1" s="1"/>
  <c r="N377" i="1"/>
  <c r="J332" i="1"/>
  <c r="E419" i="1"/>
  <c r="J26" i="1"/>
  <c r="J82" i="1"/>
  <c r="J113" i="1"/>
  <c r="J119" i="1"/>
  <c r="J129" i="1"/>
  <c r="J147" i="1"/>
  <c r="J170" i="1"/>
  <c r="M432" i="1"/>
  <c r="M431" i="1" s="1"/>
  <c r="J206" i="1"/>
  <c r="J401" i="1" s="1"/>
  <c r="N401" i="1"/>
  <c r="K404" i="1"/>
  <c r="J232" i="1"/>
  <c r="J404" i="1" s="1"/>
  <c r="K359" i="1"/>
  <c r="K442" i="1"/>
  <c r="O431" i="1"/>
  <c r="J252" i="1"/>
  <c r="K375" i="1"/>
  <c r="J213" i="1"/>
  <c r="J375" i="1" s="1"/>
  <c r="N359" i="1"/>
  <c r="N442" i="1"/>
  <c r="N355" i="1"/>
  <c r="J202" i="1"/>
  <c r="J355" i="1" s="1"/>
  <c r="L434" i="1"/>
  <c r="J270" i="1"/>
  <c r="I435" i="1"/>
  <c r="N354" i="1"/>
  <c r="O430" i="1"/>
  <c r="P435" i="1"/>
  <c r="J148" i="1"/>
  <c r="J286" i="1"/>
  <c r="J396" i="1" s="1"/>
  <c r="N396" i="1"/>
  <c r="N394" i="1" s="1"/>
  <c r="H435" i="1"/>
  <c r="J94" i="1"/>
  <c r="P425" i="1"/>
  <c r="J137" i="1"/>
  <c r="L435" i="1"/>
  <c r="L443" i="1"/>
  <c r="L438" i="1"/>
  <c r="J197" i="1"/>
  <c r="K391" i="1"/>
  <c r="J273" i="1"/>
  <c r="L384" i="1"/>
  <c r="O434" i="1"/>
  <c r="K420" i="1"/>
  <c r="C279" i="1"/>
  <c r="M438" i="1"/>
  <c r="K409" i="1"/>
  <c r="J229" i="1"/>
  <c r="J249" i="1"/>
  <c r="J405" i="1" s="1"/>
  <c r="N405" i="1"/>
  <c r="I440" i="1"/>
  <c r="E435" i="1"/>
  <c r="I438" i="1"/>
  <c r="N363" i="1"/>
  <c r="N434" i="1" s="1"/>
  <c r="K395" i="1"/>
  <c r="K394" i="1" s="1"/>
  <c r="J266" i="1"/>
  <c r="J395" i="1" s="1"/>
  <c r="N409" i="1"/>
  <c r="J95" i="1"/>
  <c r="J364" i="1" s="1"/>
  <c r="K366" i="1"/>
  <c r="O435" i="1"/>
  <c r="O438" i="1"/>
  <c r="K421" i="1"/>
  <c r="K408" i="1"/>
  <c r="J282" i="1"/>
  <c r="M397" i="1"/>
  <c r="K399" i="1"/>
  <c r="J283" i="1"/>
  <c r="K389" i="1"/>
  <c r="N418" i="1"/>
  <c r="J192" i="1"/>
  <c r="J373" i="1" s="1"/>
  <c r="J201" i="1"/>
  <c r="J205" i="1"/>
  <c r="J358" i="1" s="1"/>
  <c r="J221" i="1"/>
  <c r="K379" i="1"/>
  <c r="K403" i="1"/>
  <c r="J146" i="1"/>
  <c r="J231" i="1"/>
  <c r="J238" i="1"/>
  <c r="J380" i="1" s="1"/>
  <c r="J254" i="1"/>
  <c r="J383" i="1" s="1"/>
  <c r="J264" i="1"/>
  <c r="J385" i="1" s="1"/>
  <c r="J268" i="1"/>
  <c r="J413" i="1" s="1"/>
  <c r="P438" i="1"/>
  <c r="K381" i="1"/>
  <c r="N408" i="1"/>
  <c r="J265" i="1"/>
  <c r="J392" i="1" s="1"/>
  <c r="J292" i="1"/>
  <c r="G397" i="1"/>
  <c r="G394" i="1"/>
  <c r="G391" i="1"/>
  <c r="G384" i="1"/>
  <c r="C186" i="1"/>
  <c r="C241" i="1"/>
  <c r="C248" i="1"/>
  <c r="C255" i="1"/>
  <c r="C234" i="1"/>
  <c r="D272" i="1"/>
  <c r="D269" i="1"/>
  <c r="D251" i="1"/>
  <c r="C182" i="1"/>
  <c r="C29" i="1"/>
  <c r="C34" i="1"/>
  <c r="D333" i="1"/>
  <c r="D16" i="1" s="1"/>
  <c r="C58" i="1"/>
  <c r="C75" i="1"/>
  <c r="C74" i="1" s="1"/>
  <c r="C73" i="1" s="1"/>
  <c r="C11" i="1" s="1"/>
  <c r="C95" i="1"/>
  <c r="C120" i="1"/>
  <c r="C129" i="1"/>
  <c r="D145" i="1"/>
  <c r="C183" i="1"/>
  <c r="C287" i="1"/>
  <c r="C294" i="1"/>
  <c r="C316" i="1"/>
  <c r="D275" i="1"/>
  <c r="C27" i="1"/>
  <c r="C85" i="1"/>
  <c r="C100" i="1"/>
  <c r="C110" i="1"/>
  <c r="C146" i="1"/>
  <c r="C181" i="1"/>
  <c r="C188" i="1"/>
  <c r="C198" i="1"/>
  <c r="C205" i="1"/>
  <c r="C213" i="1"/>
  <c r="C220" i="1"/>
  <c r="C228" i="1"/>
  <c r="C249" i="1"/>
  <c r="C258" i="1"/>
  <c r="C305" i="1"/>
  <c r="D172" i="1"/>
  <c r="C39" i="1"/>
  <c r="C47" i="1"/>
  <c r="C61" i="1"/>
  <c r="C60" i="1" s="1"/>
  <c r="C68" i="1"/>
  <c r="C86" i="1"/>
  <c r="C122" i="1"/>
  <c r="C158" i="1"/>
  <c r="C166" i="1"/>
  <c r="D180" i="1"/>
  <c r="D233" i="1"/>
  <c r="C78" i="1"/>
  <c r="C177" i="1"/>
  <c r="C49" i="1"/>
  <c r="C161" i="1"/>
  <c r="C169" i="1"/>
  <c r="C192" i="1"/>
  <c r="C106" i="1"/>
  <c r="D176" i="1"/>
  <c r="C302" i="1"/>
  <c r="D76" i="1"/>
  <c r="C42" i="1"/>
  <c r="C107" i="1"/>
  <c r="C303" i="1"/>
  <c r="C66" i="1"/>
  <c r="C119" i="1"/>
  <c r="C128" i="1"/>
  <c r="C164" i="1"/>
  <c r="C171" i="1"/>
  <c r="C242" i="1"/>
  <c r="C266" i="1"/>
  <c r="C273" i="1"/>
  <c r="C311" i="1"/>
  <c r="C162" i="1"/>
  <c r="C285" i="1"/>
  <c r="C296" i="1"/>
  <c r="D37" i="1"/>
  <c r="C65" i="1"/>
  <c r="C72" i="1"/>
  <c r="C82" i="1"/>
  <c r="C104" i="1"/>
  <c r="C113" i="1"/>
  <c r="C137" i="1"/>
  <c r="C144" i="1"/>
  <c r="C170" i="1"/>
  <c r="C202" i="1"/>
  <c r="C209" i="1"/>
  <c r="C216" i="1"/>
  <c r="C223" i="1"/>
  <c r="C280" i="1"/>
  <c r="C301" i="1"/>
  <c r="D244" i="1"/>
  <c r="D322" i="1"/>
  <c r="D154" i="1"/>
  <c r="D134" i="1"/>
  <c r="D103" i="1"/>
  <c r="D185" i="1"/>
  <c r="C292" i="1"/>
  <c r="D168" i="1"/>
  <c r="C131" i="1"/>
  <c r="C140" i="1"/>
  <c r="D281" i="1"/>
  <c r="D289" i="1"/>
  <c r="D190" i="1"/>
  <c r="C94" i="1"/>
  <c r="D127" i="1"/>
  <c r="C148" i="1"/>
  <c r="C324" i="1"/>
  <c r="C332" i="1"/>
  <c r="C43" i="1"/>
  <c r="C125" i="1"/>
  <c r="C167" i="1"/>
  <c r="C174" i="1"/>
  <c r="E175" i="1"/>
  <c r="D70" i="1"/>
  <c r="D62" i="1"/>
  <c r="D227" i="1"/>
  <c r="C109" i="1"/>
  <c r="C126" i="1"/>
  <c r="C143" i="1"/>
  <c r="C152" i="1"/>
  <c r="D236" i="1"/>
  <c r="C245" i="1"/>
  <c r="C306" i="1"/>
  <c r="C293" i="1"/>
  <c r="C252" i="1"/>
  <c r="C247" i="1"/>
  <c r="C237" i="1"/>
  <c r="C229" i="1"/>
  <c r="D218" i="1"/>
  <c r="D195" i="1"/>
  <c r="F175" i="1"/>
  <c r="F153" i="1" s="1"/>
  <c r="C165" i="1"/>
  <c r="C147" i="1"/>
  <c r="D121" i="1"/>
  <c r="D118" i="1"/>
  <c r="D115" i="1"/>
  <c r="D112" i="1"/>
  <c r="C105" i="1"/>
  <c r="D99" i="1"/>
  <c r="D96" i="1"/>
  <c r="D81" i="1"/>
  <c r="C63" i="1"/>
  <c r="D60" i="1"/>
  <c r="D55" i="1"/>
  <c r="C40" i="1"/>
  <c r="D25" i="1"/>
  <c r="D341" i="1"/>
  <c r="D338" i="1" s="1"/>
  <c r="D337" i="1" s="1"/>
  <c r="D336" i="1" s="1"/>
  <c r="J398" i="1" l="1"/>
  <c r="J397" i="1" s="1"/>
  <c r="D394" i="1"/>
  <c r="C35" i="1"/>
  <c r="J390" i="1"/>
  <c r="J382" i="1"/>
  <c r="J378" i="1"/>
  <c r="J377" i="1" s="1"/>
  <c r="J388" i="1"/>
  <c r="J384" i="1" s="1"/>
  <c r="J357" i="1"/>
  <c r="C388" i="1"/>
  <c r="J441" i="1"/>
  <c r="D362" i="1"/>
  <c r="C269" i="1"/>
  <c r="C233" i="1"/>
  <c r="F443" i="1"/>
  <c r="E443" i="1"/>
  <c r="D133" i="1"/>
  <c r="E153" i="1"/>
  <c r="D321" i="1"/>
  <c r="E256" i="1"/>
  <c r="F256" i="1"/>
  <c r="F194" i="1"/>
  <c r="D208" i="1"/>
  <c r="E194" i="1"/>
  <c r="E431" i="1"/>
  <c r="E92" i="1"/>
  <c r="F92" i="1"/>
  <c r="F431" i="1"/>
  <c r="D433" i="1"/>
  <c r="D425" i="1" s="1"/>
  <c r="D11" i="1"/>
  <c r="D19" i="1"/>
  <c r="D80" i="1"/>
  <c r="D79" i="1" s="1"/>
  <c r="D15" i="1"/>
  <c r="E415" i="1"/>
  <c r="L415" i="1"/>
  <c r="J160" i="1"/>
  <c r="G419" i="1"/>
  <c r="D300" i="1"/>
  <c r="J210" i="1"/>
  <c r="J208" i="1" s="1"/>
  <c r="J139" i="1"/>
  <c r="J157" i="1"/>
  <c r="C322" i="1"/>
  <c r="J168" i="1"/>
  <c r="J196" i="1"/>
  <c r="J330" i="1"/>
  <c r="J329" i="1" s="1"/>
  <c r="J13" i="1" s="1"/>
  <c r="J121" i="1"/>
  <c r="C196" i="1"/>
  <c r="C210" i="1"/>
  <c r="C297" i="1"/>
  <c r="J297" i="1"/>
  <c r="C139" i="1"/>
  <c r="J130" i="1"/>
  <c r="J115" i="1"/>
  <c r="J127" i="1"/>
  <c r="C130" i="1"/>
  <c r="C157" i="1"/>
  <c r="J76" i="1"/>
  <c r="J15" i="1" s="1"/>
  <c r="F415" i="1"/>
  <c r="E111" i="1"/>
  <c r="C236" i="1"/>
  <c r="C272" i="1"/>
  <c r="C121" i="1"/>
  <c r="D419" i="1"/>
  <c r="D428" i="1"/>
  <c r="D384" i="1"/>
  <c r="J417" i="1"/>
  <c r="J333" i="1"/>
  <c r="J16" i="1" s="1"/>
  <c r="N368" i="1"/>
  <c r="O443" i="1"/>
  <c r="C275" i="1"/>
  <c r="K428" i="1"/>
  <c r="D368" i="1"/>
  <c r="K368" i="1"/>
  <c r="G368" i="1"/>
  <c r="G428" i="1"/>
  <c r="C429" i="1"/>
  <c r="H443" i="1"/>
  <c r="K434" i="1"/>
  <c r="K438" i="1"/>
  <c r="C417" i="1"/>
  <c r="I443" i="1"/>
  <c r="J365" i="1"/>
  <c r="J437" i="1"/>
  <c r="N438" i="1"/>
  <c r="D24" i="1"/>
  <c r="C118" i="1"/>
  <c r="C436" i="1"/>
  <c r="J124" i="1"/>
  <c r="N419" i="1"/>
  <c r="H426" i="1"/>
  <c r="N440" i="1"/>
  <c r="C115" i="1"/>
  <c r="J429" i="1"/>
  <c r="C437" i="1"/>
  <c r="J176" i="1"/>
  <c r="J436" i="1"/>
  <c r="F111" i="1"/>
  <c r="N428" i="1"/>
  <c r="N427" i="1" s="1"/>
  <c r="C371" i="1"/>
  <c r="J369" i="1"/>
  <c r="J370" i="1"/>
  <c r="C369" i="1"/>
  <c r="C370" i="1"/>
  <c r="J371" i="1"/>
  <c r="J394" i="1"/>
  <c r="C112" i="1"/>
  <c r="J322" i="1"/>
  <c r="J321" i="1" s="1"/>
  <c r="J320" i="1" s="1"/>
  <c r="J319" i="1" s="1"/>
  <c r="J318" i="1" s="1"/>
  <c r="J14" i="1" s="1"/>
  <c r="C172" i="1"/>
  <c r="C154" i="1"/>
  <c r="C330" i="1"/>
  <c r="C329" i="1" s="1"/>
  <c r="C13" i="1" s="1"/>
  <c r="C176" i="1"/>
  <c r="J275" i="1"/>
  <c r="J70" i="1"/>
  <c r="D397" i="1"/>
  <c r="C134" i="1"/>
  <c r="C190" i="1"/>
  <c r="C168" i="1"/>
  <c r="C55" i="1"/>
  <c r="C251" i="1"/>
  <c r="C304" i="1"/>
  <c r="C81" i="1"/>
  <c r="C80" i="1" s="1"/>
  <c r="C79" i="1" s="1"/>
  <c r="C17" i="1" s="1"/>
  <c r="J172" i="1"/>
  <c r="D257" i="1"/>
  <c r="C25" i="1"/>
  <c r="D225" i="1"/>
  <c r="N443" i="1"/>
  <c r="D138" i="1"/>
  <c r="K443" i="1"/>
  <c r="G443" i="1"/>
  <c r="C127" i="1"/>
  <c r="C99" i="1"/>
  <c r="C333" i="1"/>
  <c r="C16" i="1" s="1"/>
  <c r="C124" i="1"/>
  <c r="C96" i="1"/>
  <c r="K362" i="1"/>
  <c r="D434" i="1"/>
  <c r="C309" i="1"/>
  <c r="H424" i="1"/>
  <c r="J37" i="1"/>
  <c r="D416" i="1"/>
  <c r="N407" i="1"/>
  <c r="J272" i="1"/>
  <c r="K432" i="1"/>
  <c r="K431" i="1" s="1"/>
  <c r="J442" i="1"/>
  <c r="J341" i="1"/>
  <c r="J338" i="1" s="1"/>
  <c r="J337" i="1" s="1"/>
  <c r="J336" i="1" s="1"/>
  <c r="J62" i="1"/>
  <c r="H361" i="1"/>
  <c r="H353" i="1" s="1"/>
  <c r="J103" i="1"/>
  <c r="E427" i="1"/>
  <c r="C76" i="1"/>
  <c r="J391" i="1"/>
  <c r="J134" i="1"/>
  <c r="K416" i="1"/>
  <c r="J55" i="1"/>
  <c r="G416" i="1"/>
  <c r="D432" i="1"/>
  <c r="J309" i="1"/>
  <c r="I424" i="1"/>
  <c r="C180" i="1"/>
  <c r="G440" i="1"/>
  <c r="K377" i="1"/>
  <c r="J281" i="1"/>
  <c r="D438" i="1"/>
  <c r="K397" i="1"/>
  <c r="C62" i="1"/>
  <c r="J259" i="1"/>
  <c r="J421" i="1"/>
  <c r="J418" i="1"/>
  <c r="N397" i="1"/>
  <c r="J118" i="1"/>
  <c r="J81" i="1"/>
  <c r="J80" i="1" s="1"/>
  <c r="J18" i="1" s="1"/>
  <c r="K435" i="1"/>
  <c r="C259" i="1"/>
  <c r="J354" i="1"/>
  <c r="J240" i="1"/>
  <c r="C185" i="1"/>
  <c r="L425" i="1"/>
  <c r="J180" i="1"/>
  <c r="C281" i="1"/>
  <c r="E424" i="1"/>
  <c r="D407" i="1"/>
  <c r="K407" i="1"/>
  <c r="J25" i="1"/>
  <c r="O361" i="1"/>
  <c r="O353" i="1" s="1"/>
  <c r="C323" i="1"/>
  <c r="C160" i="1"/>
  <c r="J244" i="1"/>
  <c r="D377" i="1"/>
  <c r="J304" i="1"/>
  <c r="C70" i="1"/>
  <c r="K425" i="1"/>
  <c r="E425" i="1"/>
  <c r="J233" i="1"/>
  <c r="D439" i="1"/>
  <c r="I427" i="1"/>
  <c r="J269" i="1"/>
  <c r="J112" i="1"/>
  <c r="I425" i="1"/>
  <c r="J99" i="1"/>
  <c r="F361" i="1"/>
  <c r="F353" i="1" s="1"/>
  <c r="J163" i="1"/>
  <c r="L430" i="1"/>
  <c r="L426" i="1" s="1"/>
  <c r="L361" i="1"/>
  <c r="L353" i="1" s="1"/>
  <c r="D435" i="1"/>
  <c r="O426" i="1"/>
  <c r="K430" i="1"/>
  <c r="J236" i="1"/>
  <c r="J190" i="1"/>
  <c r="N435" i="1"/>
  <c r="L424" i="1"/>
  <c r="L427" i="1"/>
  <c r="P430" i="1"/>
  <c r="P426" i="1" s="1"/>
  <c r="P361" i="1"/>
  <c r="P353" i="1" s="1"/>
  <c r="J251" i="1"/>
  <c r="J409" i="1"/>
  <c r="J407" i="1" s="1"/>
  <c r="J227" i="1"/>
  <c r="J420" i="1"/>
  <c r="N432" i="1"/>
  <c r="N431" i="1" s="1"/>
  <c r="J406" i="1"/>
  <c r="J96" i="1"/>
  <c r="J433" i="1" s="1"/>
  <c r="J145" i="1"/>
  <c r="J185" i="1"/>
  <c r="N439" i="1"/>
  <c r="M435" i="1"/>
  <c r="O425" i="1"/>
  <c r="J363" i="1"/>
  <c r="M430" i="1"/>
  <c r="M426" i="1" s="1"/>
  <c r="M361" i="1"/>
  <c r="M353" i="1" s="1"/>
  <c r="M427" i="1"/>
  <c r="M424" i="1"/>
  <c r="N425" i="1"/>
  <c r="D102" i="1"/>
  <c r="D440" i="1"/>
  <c r="K419" i="1"/>
  <c r="M425" i="1"/>
  <c r="J289" i="1"/>
  <c r="H425" i="1"/>
  <c r="J154" i="1"/>
  <c r="N430" i="1"/>
  <c r="J376" i="1"/>
  <c r="J218" i="1"/>
  <c r="N416" i="1"/>
  <c r="E361" i="1"/>
  <c r="E353" i="1" s="1"/>
  <c r="E430" i="1"/>
  <c r="E426" i="1" s="1"/>
  <c r="O427" i="1"/>
  <c r="O424" i="1"/>
  <c r="I426" i="1"/>
  <c r="H427" i="1"/>
  <c r="N362" i="1"/>
  <c r="P424" i="1"/>
  <c r="P423" i="1" s="1"/>
  <c r="P427" i="1"/>
  <c r="F426" i="1"/>
  <c r="I361" i="1"/>
  <c r="I353" i="1" s="1"/>
  <c r="C163" i="1"/>
  <c r="G432" i="1"/>
  <c r="G431" i="1" s="1"/>
  <c r="C244" i="1"/>
  <c r="C289" i="1"/>
  <c r="C227" i="1"/>
  <c r="G438" i="1"/>
  <c r="G435" i="1"/>
  <c r="C240" i="1"/>
  <c r="C418" i="1"/>
  <c r="G439" i="1"/>
  <c r="C218" i="1"/>
  <c r="C145" i="1"/>
  <c r="C37" i="1"/>
  <c r="D175" i="1"/>
  <c r="C103" i="1"/>
  <c r="C208" i="1" l="1"/>
  <c r="C195" i="1"/>
  <c r="C133" i="1"/>
  <c r="J428" i="1"/>
  <c r="C102" i="1"/>
  <c r="C15" i="1"/>
  <c r="C19" i="1"/>
  <c r="C321" i="1"/>
  <c r="D111" i="1"/>
  <c r="J138" i="1"/>
  <c r="J443" i="1" s="1"/>
  <c r="E91" i="1"/>
  <c r="D153" i="1"/>
  <c r="D320" i="1"/>
  <c r="D299" i="1"/>
  <c r="D256" i="1"/>
  <c r="D194" i="1"/>
  <c r="G415" i="1"/>
  <c r="D431" i="1"/>
  <c r="F91" i="1"/>
  <c r="D92" i="1"/>
  <c r="D17" i="1"/>
  <c r="D18" i="1"/>
  <c r="D9" i="1"/>
  <c r="D415" i="1"/>
  <c r="J19" i="1"/>
  <c r="C138" i="1"/>
  <c r="J175" i="1"/>
  <c r="C18" i="1"/>
  <c r="C257" i="1"/>
  <c r="N426" i="1"/>
  <c r="J416" i="1"/>
  <c r="K426" i="1"/>
  <c r="J79" i="1"/>
  <c r="J17" i="1" s="1"/>
  <c r="C428" i="1"/>
  <c r="J438" i="1"/>
  <c r="N415" i="1"/>
  <c r="I423" i="1"/>
  <c r="I444" i="1" s="1"/>
  <c r="J362" i="1"/>
  <c r="J133" i="1"/>
  <c r="D443" i="1"/>
  <c r="J368" i="1"/>
  <c r="C175" i="1"/>
  <c r="C368" i="1"/>
  <c r="J300" i="1"/>
  <c r="K415" i="1"/>
  <c r="C300" i="1"/>
  <c r="J419" i="1"/>
  <c r="C24" i="1"/>
  <c r="J225" i="1"/>
  <c r="J257" i="1"/>
  <c r="J256" i="1" s="1"/>
  <c r="C225" i="1"/>
  <c r="J434" i="1"/>
  <c r="H423" i="1"/>
  <c r="H444" i="1" s="1"/>
  <c r="N361" i="1"/>
  <c r="N353" i="1" s="1"/>
  <c r="J24" i="1"/>
  <c r="J9" i="1" s="1"/>
  <c r="J435" i="1"/>
  <c r="K361" i="1"/>
  <c r="K353" i="1" s="1"/>
  <c r="J102" i="1"/>
  <c r="J92" i="1" s="1"/>
  <c r="J440" i="1"/>
  <c r="O423" i="1"/>
  <c r="O444" i="1" s="1"/>
  <c r="L423" i="1"/>
  <c r="L444" i="1" s="1"/>
  <c r="E423" i="1"/>
  <c r="M423" i="1"/>
  <c r="M444" i="1" s="1"/>
  <c r="G425" i="1"/>
  <c r="F424" i="1"/>
  <c r="F423" i="1" s="1"/>
  <c r="F427" i="1"/>
  <c r="D424" i="1"/>
  <c r="D423" i="1" s="1"/>
  <c r="D427" i="1"/>
  <c r="J439" i="1"/>
  <c r="N424" i="1"/>
  <c r="N423" i="1" s="1"/>
  <c r="K424" i="1"/>
  <c r="K423" i="1" s="1"/>
  <c r="K427" i="1"/>
  <c r="J195" i="1"/>
  <c r="J432" i="1"/>
  <c r="J431" i="1" s="1"/>
  <c r="J425" i="1"/>
  <c r="D361" i="1"/>
  <c r="D353" i="1" s="1"/>
  <c r="D430" i="1"/>
  <c r="D426" i="1" s="1"/>
  <c r="G424" i="1"/>
  <c r="G361" i="1"/>
  <c r="G353" i="1" s="1"/>
  <c r="G430" i="1"/>
  <c r="G426" i="1" s="1"/>
  <c r="G427" i="1"/>
  <c r="J299" i="1" l="1"/>
  <c r="J153" i="1"/>
  <c r="C92" i="1"/>
  <c r="C299" i="1"/>
  <c r="C256" i="1"/>
  <c r="C153" i="1"/>
  <c r="C111" i="1"/>
  <c r="C9" i="1"/>
  <c r="C320" i="1"/>
  <c r="C194" i="1"/>
  <c r="E90" i="1"/>
  <c r="J111" i="1"/>
  <c r="D319" i="1"/>
  <c r="D298" i="1"/>
  <c r="D91" i="1"/>
  <c r="F90" i="1"/>
  <c r="J415" i="1"/>
  <c r="N352" i="1"/>
  <c r="P444" i="1"/>
  <c r="J194" i="1"/>
  <c r="N444" i="1"/>
  <c r="K352" i="1"/>
  <c r="K444" i="1"/>
  <c r="G423" i="1"/>
  <c r="J361" i="1"/>
  <c r="J353" i="1" s="1"/>
  <c r="J430" i="1"/>
  <c r="J426" i="1" s="1"/>
  <c r="J424" i="1"/>
  <c r="J423" i="1" s="1"/>
  <c r="J427" i="1"/>
  <c r="J298" i="1" l="1"/>
  <c r="J91" i="1"/>
  <c r="J90" i="1" s="1"/>
  <c r="C298" i="1"/>
  <c r="C91" i="1"/>
  <c r="E444" i="1"/>
  <c r="C319" i="1"/>
  <c r="D318" i="1"/>
  <c r="D12" i="1"/>
  <c r="D90" i="1"/>
  <c r="F444" i="1"/>
  <c r="G352" i="1"/>
  <c r="G444" i="1"/>
  <c r="J12" i="1" l="1"/>
  <c r="C12" i="1"/>
  <c r="C90" i="1"/>
  <c r="C318" i="1"/>
  <c r="D444" i="1"/>
  <c r="J53" i="1"/>
  <c r="D14" i="1"/>
  <c r="D53" i="1"/>
  <c r="J444" i="1"/>
  <c r="C413" i="1"/>
  <c r="C53" i="1" l="1"/>
  <c r="C14" i="1"/>
  <c r="D45" i="1"/>
  <c r="J45" i="1"/>
  <c r="C442" i="1"/>
  <c r="C441" i="1"/>
  <c r="C421" i="1"/>
  <c r="C412" i="1"/>
  <c r="C410" i="1"/>
  <c r="C409" i="1"/>
  <c r="C408" i="1"/>
  <c r="C406" i="1"/>
  <c r="C405" i="1"/>
  <c r="C404" i="1"/>
  <c r="C403" i="1"/>
  <c r="C402" i="1"/>
  <c r="C401" i="1"/>
  <c r="C400" i="1"/>
  <c r="C399" i="1"/>
  <c r="C398" i="1"/>
  <c r="C396" i="1"/>
  <c r="C395" i="1"/>
  <c r="C393" i="1"/>
  <c r="C392" i="1"/>
  <c r="C390" i="1"/>
  <c r="C389" i="1"/>
  <c r="C387" i="1"/>
  <c r="C386" i="1"/>
  <c r="C385" i="1"/>
  <c r="C383" i="1"/>
  <c r="C382" i="1"/>
  <c r="C381" i="1"/>
  <c r="C380" i="1"/>
  <c r="C379" i="1"/>
  <c r="C378" i="1"/>
  <c r="C376" i="1"/>
  <c r="C375" i="1"/>
  <c r="C374" i="1"/>
  <c r="C373" i="1"/>
  <c r="C372" i="1"/>
  <c r="C367" i="1"/>
  <c r="C366" i="1"/>
  <c r="C365" i="1"/>
  <c r="C364" i="1"/>
  <c r="B364" i="1"/>
  <c r="C363" i="1"/>
  <c r="B363" i="1"/>
  <c r="C360" i="1"/>
  <c r="C359" i="1"/>
  <c r="C358" i="1"/>
  <c r="C357" i="1"/>
  <c r="C356" i="1"/>
  <c r="C355" i="1"/>
  <c r="C354" i="1"/>
  <c r="C443" i="1"/>
  <c r="C440" i="1"/>
  <c r="C433" i="1"/>
  <c r="C45" i="1" l="1"/>
  <c r="D44" i="1"/>
  <c r="J44" i="1"/>
  <c r="C341" i="1"/>
  <c r="C338" i="1" s="1"/>
  <c r="C337" i="1" s="1"/>
  <c r="C439" i="1"/>
  <c r="C425" i="1"/>
  <c r="C416" i="1"/>
  <c r="C384" i="1"/>
  <c r="C394" i="1"/>
  <c r="C377" i="1"/>
  <c r="C407" i="1"/>
  <c r="C362" i="1"/>
  <c r="C391" i="1"/>
  <c r="C432" i="1"/>
  <c r="C431" i="1" s="1"/>
  <c r="C420" i="1"/>
  <c r="C419" i="1" s="1"/>
  <c r="C438" i="1"/>
  <c r="C397" i="1"/>
  <c r="C434" i="1"/>
  <c r="C435" i="1"/>
  <c r="D10" i="1" l="1"/>
  <c r="C44" i="1"/>
  <c r="D352" i="1"/>
  <c r="D88" i="1"/>
  <c r="D23" i="1"/>
  <c r="J10" i="1"/>
  <c r="J88" i="1"/>
  <c r="J23" i="1"/>
  <c r="J352" i="1"/>
  <c r="C336" i="1"/>
  <c r="C427" i="1"/>
  <c r="C430" i="1"/>
  <c r="C426" i="1" s="1"/>
  <c r="C415" i="1"/>
  <c r="C361" i="1"/>
  <c r="C353" i="1" s="1"/>
  <c r="C424" i="1"/>
  <c r="C423" i="1" s="1"/>
  <c r="D8" i="1" l="1"/>
  <c r="D21" i="1"/>
  <c r="C23" i="1"/>
  <c r="C10" i="1"/>
  <c r="C88" i="1"/>
  <c r="D22" i="1"/>
  <c r="J22" i="1"/>
  <c r="J21" i="1"/>
  <c r="J8" i="1"/>
  <c r="C444" i="1"/>
  <c r="D20" i="1" l="1"/>
  <c r="C22" i="1"/>
  <c r="D7" i="1"/>
  <c r="C8" i="1"/>
  <c r="C21" i="1"/>
  <c r="J20" i="1"/>
  <c r="J7" i="1"/>
  <c r="C352" i="1"/>
  <c r="C7" i="1" l="1"/>
  <c r="C20" i="1"/>
</calcChain>
</file>

<file path=xl/sharedStrings.xml><?xml version="1.0" encoding="utf-8"?>
<sst xmlns="http://schemas.openxmlformats.org/spreadsheetml/2006/main" count="1887" uniqueCount="628">
  <si>
    <t>Denumire indicator</t>
  </si>
  <si>
    <t>Contributii pentru concedii si indemnizatii</t>
  </si>
  <si>
    <t>CHELTUIELI CURENTE</t>
  </si>
  <si>
    <t>TITLUL II BUNURI SI SERVICII</t>
  </si>
  <si>
    <t>TITLUL III DOBANZI</t>
  </si>
  <si>
    <t>TITLUL VI TRANSFERURI INTRE UNITATI ALE ADMINISTRATIEI PUBLICE</t>
  </si>
  <si>
    <t>TITLUL VIII PROIECTE CU FINANTARE DIN FONDURI EXTERNE NERAMBURSABILE (FEN) POSTADERARE</t>
  </si>
  <si>
    <t>TITLUL IX ASISTENTA SOCIALA</t>
  </si>
  <si>
    <t xml:space="preserve">TITLUL XI ALTE CHELTUIELI </t>
  </si>
  <si>
    <t>TITLUL XII PROIECTE CU FINANTARE DIN SUMELE REPREZENTAND ASISTENTA FINANCIARA NERAMBURSABILA AFERENTA PNRR</t>
  </si>
  <si>
    <t>CHELTUIELI DE CAPITAL</t>
  </si>
  <si>
    <t xml:space="preserve">CHELTUIELI- TOTAL      </t>
  </si>
  <si>
    <t>TITLUL I CHELTUIELI DE PERSONAL</t>
  </si>
  <si>
    <t>Partea a III-a CHELTUIELI SOCIAL - CULTURALE</t>
  </si>
  <si>
    <t>SANATATE</t>
  </si>
  <si>
    <t>Cheltuieli de salarii in bani</t>
  </si>
  <si>
    <t>Salarii de baza</t>
  </si>
  <si>
    <t>Sporuri pentru conditii de munca</t>
  </si>
  <si>
    <t>Alte sporuri</t>
  </si>
  <si>
    <t>Indemnizatii platite unor persoane din afara unitatii</t>
  </si>
  <si>
    <t>Drepturi de delegare</t>
  </si>
  <si>
    <t>Indemnizatii de detasare</t>
  </si>
  <si>
    <t>Indemnizatii de hrana</t>
  </si>
  <si>
    <t>Alte drepturi salariale in bani</t>
  </si>
  <si>
    <t xml:space="preserve">   ~ hotarari judecatoresti</t>
  </si>
  <si>
    <t>Cheltuieli salariale in natura</t>
  </si>
  <si>
    <t>Vouchere de vacanta</t>
  </si>
  <si>
    <t>Contributii</t>
  </si>
  <si>
    <t>Contributii de asigurari sociale de stat</t>
  </si>
  <si>
    <t>Contributii de asigurari de somaj</t>
  </si>
  <si>
    <t>Contributii de asigurari sociale de sanatate</t>
  </si>
  <si>
    <t xml:space="preserve">Contributii de asigurari pentru accidente de munca si boli profesionale </t>
  </si>
  <si>
    <t>Contributia asiguratorie pentru munca</t>
  </si>
  <si>
    <t>Bunuri si servicii</t>
  </si>
  <si>
    <t>Furnituri de birou</t>
  </si>
  <si>
    <t>Materiale pentru curatenie</t>
  </si>
  <si>
    <t>Incalzit, iluminat si forta motrica</t>
  </si>
  <si>
    <t>Apa, canal si salubritate</t>
  </si>
  <si>
    <t>Carburanti si lubrifianti</t>
  </si>
  <si>
    <t>Piese de schimb</t>
  </si>
  <si>
    <t>Posta, telecomunicatii, radio, tv, internet</t>
  </si>
  <si>
    <t>Materiale si prestari de servicii cu caracter functional din care:</t>
  </si>
  <si>
    <t>Materiale si prestari de servicii cu caracter functional pt ch.proprii</t>
  </si>
  <si>
    <t>Alte bunuri si servicii pentru intretinere si functionare, din care:</t>
  </si>
  <si>
    <t xml:space="preserve">  - activitatea curenta</t>
  </si>
  <si>
    <t xml:space="preserve">  - sume pentru servicii poştale în vederea distribuţiei cardurilor naţionale </t>
  </si>
  <si>
    <t xml:space="preserve">  - sume pentru servicii de mententanta si suport tehnic pentru sistemul ERP</t>
  </si>
  <si>
    <t>Reparatii curente</t>
  </si>
  <si>
    <t>Bunuri de natura obiectelor de inventar</t>
  </si>
  <si>
    <t>Alte obiecte de inventar</t>
  </si>
  <si>
    <t>Deplasari, detasari, transferari</t>
  </si>
  <si>
    <t>Deplasari interne, detasari, transferari</t>
  </si>
  <si>
    <t>Deplasari in strainatate</t>
  </si>
  <si>
    <t>Carti, publicatii si materiale documentare</t>
  </si>
  <si>
    <t>Consultanta si expertiza</t>
  </si>
  <si>
    <t>Pregatire profesionala</t>
  </si>
  <si>
    <t>Protectia muncii</t>
  </si>
  <si>
    <t>Cheltuieli judiciare si extrajudiciare derivate din actiuni in reprezentarea intereselor statului, potrivit dispozitiilor legale</t>
  </si>
  <si>
    <t>Alte cheltuieli</t>
  </si>
  <si>
    <t>Chirii</t>
  </si>
  <si>
    <t>Alte cheltuieli cu bunuri si servicii</t>
  </si>
  <si>
    <t>Alte dobanzi</t>
  </si>
  <si>
    <t>Dobanda datorata trezoreriei statului</t>
  </si>
  <si>
    <t>Despagubiri civile</t>
  </si>
  <si>
    <t>Active fixe</t>
  </si>
  <si>
    <t>Constructii</t>
  </si>
  <si>
    <t>Masini, echipamente si mijloace de transport</t>
  </si>
  <si>
    <t>Mobilier, aparatura birotica si alte active corporale</t>
  </si>
  <si>
    <t>Alte active fixe</t>
  </si>
  <si>
    <t>Reparatii capitale aferente activelor fixe</t>
  </si>
  <si>
    <t>Administratia centrala</t>
  </si>
  <si>
    <t>Servicii publice descentralizate</t>
  </si>
  <si>
    <t>Materiale si prestari de servicii cu caracter medical</t>
  </si>
  <si>
    <t>Produse farmaceutice, materiale sanitare specifice si dispozitive medicale</t>
  </si>
  <si>
    <t>Medicamente cu si fara contributie personala, din care:</t>
  </si>
  <si>
    <t xml:space="preserve">    ~ activitatea curenta</t>
  </si>
  <si>
    <t>~ contributia personala pentru medicamentele acordate in tratamentul ambulatoriu persoanelor care beneficiaza de OUG 96/2024</t>
  </si>
  <si>
    <t>~sume pentru punerea in aplicare a art.4 alin. (2) din OUG 96/2024  privind acordarea de sprijin şi asistenţă umanitară de către statul român cetăţenilor străini sau apatrizilor aflaţi în situaţii deosebite, proveniţi din zona conflictului armat din Ucraina</t>
  </si>
  <si>
    <t xml:space="preserve">    ~ personal contractual</t>
  </si>
  <si>
    <t xml:space="preserve">    ~ medicamente imunologice folosite pentru producerea imunităţii active (sau folosite pentru prevenirea unor boli transmisibile), de care beneficiază unele segmente populaţionale în tratamentul ambulatoriu în regim de compensare, din care:</t>
  </si>
  <si>
    <t xml:space="preserve">    ~  cost volum, din care:</t>
  </si>
  <si>
    <t xml:space="preserve"> - activitatea curenta</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</si>
  <si>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</si>
  <si>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</si>
  <si>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Medicamente pentru boli cronice cu risc crescut utilizate in programele nationale cu scop curativ, din care :</t>
  </si>
  <si>
    <t>Materiale sanitare specifice utilizate in programele nationale cu scop curativ</t>
  </si>
  <si>
    <t>Servicii medicale de hemodializa si dializa peritoneala</t>
  </si>
  <si>
    <t xml:space="preserve">  ~ Vouchere de vacanta conform OUG nr.63/2023</t>
  </si>
  <si>
    <t>Dispozitive si echipamente medicale,din care:</t>
  </si>
  <si>
    <t>Servicii medicale in ambulator</t>
  </si>
  <si>
    <t>Asistenta medicala primara din care:</t>
  </si>
  <si>
    <t xml:space="preserve">    ~ centre de permanenta </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</si>
  <si>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</si>
  <si>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</si>
  <si>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 servicii medicale pentru persoanele care nu fac dovada calităţii de asigurat,  prevăzute la art. 232 alin. (3^1) şi art. 261 alin. (1^2) din Legea nr. 95/2006, republicată, cu modificările şi completările ulterioare</t>
  </si>
  <si>
    <t>Asistenta medicala  pentru specialitati clinice, din care:</t>
  </si>
  <si>
    <t>Planul naţional de prevenire şi combatere a cancerului, din care:</t>
  </si>
  <si>
    <t xml:space="preserve">    - persoane asigurate</t>
  </si>
  <si>
    <t xml:space="preserve">    - persoane neasigurate</t>
  </si>
  <si>
    <t xml:space="preserve">    ~Subprogramul national de servicii conexe acordate persoanelor diagnosticate cu tulburari din spectrul autist</t>
  </si>
  <si>
    <t xml:space="preserve"> ~ Programul național de îngrijiri paliative</t>
  </si>
  <si>
    <t>Asistenta medicala stomatologica din care:</t>
  </si>
  <si>
    <t>~sume pentru punerea în aplicare a dispoziţiilor art. 165 alin. ( 1^1)  - (1^3) din Legea nr. 95/2006 ( cf.modificarilor aduse prin Legea nr.109/2022)</t>
  </si>
  <si>
    <t>Asistenta medicala pentru specialitati paraclinice din care:</t>
  </si>
  <si>
    <r>
      <t xml:space="preserve">    ~ activitatea curenta</t>
    </r>
    <r>
      <rPr>
        <i/>
        <sz val="11"/>
        <color indexed="9"/>
        <rFont val="Arial"/>
        <family val="2"/>
        <charset val="238"/>
      </rPr>
      <t/>
    </r>
  </si>
  <si>
    <t xml:space="preserve"> ~ Planul naţional de prevenire şi combatere a cancerului, din care:</t>
  </si>
  <si>
    <t xml:space="preserve">  ~ Servicii medicale paraclinice acordate persoanelor care nu pot face dovada calităţii de asigurat, recomandate de medicii de familie şi de medicii de specialitate din ambulatoriul de specialitate pentru specialităţile clinice, în vederea efectuării testării pentru virusul hepatitic B, virusul hepatitic C şi la gravidă, virusul HIV cf.art.77^2 din HG nr.521/2023</t>
  </si>
  <si>
    <t xml:space="preserve">    ~ Programul national de PET-CT, din care:</t>
  </si>
  <si>
    <t xml:space="preserve">    ~  sume pentru evaluarea anuala a bolnavilor cu diabet zaharat (hemoglobina glicata), din care:</t>
  </si>
  <si>
    <t xml:space="preserve">    ~ Subprogramul de diagnostic genetic al tumorilor solide maligne  </t>
  </si>
  <si>
    <t xml:space="preserve">    ~Subprogramul national de testare genetica</t>
  </si>
  <si>
    <t>Asistenta medicala in centrele medicale multifunctionale din care:</t>
  </si>
  <si>
    <t xml:space="preserve">  ~  activitate curenta </t>
  </si>
  <si>
    <t xml:space="preserve"> ~ Planul naţional de prevenire şi combatere a cancerului - persoane asigurate</t>
  </si>
  <si>
    <t xml:space="preserve"> ~ personal contractual</t>
  </si>
  <si>
    <t>Servicii de urgenta prespitalicesti si transport sanitar</t>
  </si>
  <si>
    <t>Servicii medicale in unitati sanitare cu paturi</t>
  </si>
  <si>
    <t>Spitale generale, din care:</t>
  </si>
  <si>
    <t>~ Suma corespunzatoare alocaţiei de hrană din unităţile sanitare publice</t>
  </si>
  <si>
    <t xml:space="preserve">    ~ Subprogramul de diagnostic si de monitorizare a afectiunilor hematologice maligne prin imunofenotipare, examen citogenetic si FISH si examen de biologie moleculara</t>
  </si>
  <si>
    <t xml:space="preserve">    ~ Programul national de diagnostic si tratament cu ajutorul aparaturii de inalta perfomanta, din care:</t>
  </si>
  <si>
    <t>~Programul national de endometrioza</t>
  </si>
  <si>
    <t>Unitati de recuperare-reabilitare a sanatatii, din care:</t>
  </si>
  <si>
    <t>Ingrijiri medicale la domiciliu, din care:</t>
  </si>
  <si>
    <t>~ activitate curenta</t>
  </si>
  <si>
    <t>Prestatii medicale acordate in baza documentelor internationale</t>
  </si>
  <si>
    <t>TRANSFERURI CURENTE</t>
  </si>
  <si>
    <t>Transferuri din bugetul fondului national unic de asigurări sociale de sănătate către unitățile sanitare pentru acoperirea creșterilor salariale</t>
  </si>
  <si>
    <t>~ influente financiare determinate de cresterile salariale prevazute de art.38, alin.3, lit.g) din Legea-cadru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</si>
  <si>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</si>
  <si>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</si>
  <si>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Legea-cadru nr.153/2017, cu modificarile si completarile ulterioare, din care:</t>
  </si>
  <si>
    <t xml:space="preserve"> - influente financiare determinate de cresterile salariale prevazute de art.38, alin.4 din Legea-cadru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</si>
  <si>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Legea-cadru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</si>
  <si>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(4^1) si (4^2) din OUG nr.130/2021 cu modificările şi completările ulterioare reprezentand majorarea cu 1/4 din diferenţa dintre salariul de bază prevăzut de Legea-cadru nr. 153/2017, cu modificările şi completările ulterioare, pentru anul 2022 şi cel din luna decembrie 2021</t>
  </si>
  <si>
    <t xml:space="preserve"> ~ 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</si>
  <si>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 indemniatie lunara stabilita in cuantum brut conform art. 3^1, alin. (1) din capitolul II al anexei nr.II la Legea-cadru nr. 153/2017, cu modificările și completările ulterioare, din care:</t>
  </si>
  <si>
    <t xml:space="preserve">  -  indemniatie lunara pentru medicii specialisti si primari conform art. 3^1 ,alin. (1), lit a) si b) din capitolul II al anexei nr.II la Legea-cadru nr. 153/2017, cu modificările și completările ulterioare</t>
  </si>
  <si>
    <t xml:space="preserve">  -  indemniatie lunara pentru medicii rezidenti conform art. 3^1 ,alin. (1), lit c) si d) din capitolul II al anexei nr.II la Legea-cadru nr. 153/2017, cu modificările și completările ulterioare</t>
  </si>
  <si>
    <t xml:space="preserve">  -  indemniatie lunara pentru biologii, chimistii si biochimistii prevazuti la art. 3^1 ,alin. (1), lit e) din capitolul II al anexei nr.II la Legea-cadru nr. 153/2017, cu modificările și completările ulterioare</t>
  </si>
  <si>
    <t xml:space="preserve">  -  indemniatie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</si>
  <si>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</si>
  <si>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ASIGURARI SI ASISTENTA SOCIALA</t>
  </si>
  <si>
    <t>Ajutoare sociale</t>
  </si>
  <si>
    <t>Ajutoare sociale in numerar</t>
  </si>
  <si>
    <t>Asistenta sociala in caz de boli si invaliditati</t>
  </si>
  <si>
    <t>Finantarea nationala</t>
  </si>
  <si>
    <t>Finantarea externa nerambursabila</t>
  </si>
  <si>
    <t>Alte programe comunitare finantate in perioada 2021-2027</t>
  </si>
  <si>
    <t>Finantare externa nerambursabila</t>
  </si>
  <si>
    <t>Fonduri europene nerambursabile</t>
  </si>
  <si>
    <t>Sume aferente TVA</t>
  </si>
  <si>
    <t>FONDURI EXTERNE NERAMBURSABILE</t>
  </si>
  <si>
    <t>cheltuieli materiale</t>
  </si>
  <si>
    <t>Sume de la bugetul de stat, din care:</t>
  </si>
  <si>
    <t xml:space="preserve"> 1.personal contractual</t>
  </si>
  <si>
    <t xml:space="preserve"> 2.monitorizare- primara</t>
  </si>
  <si>
    <t xml:space="preserve"> 3.testare medici de fam- primara</t>
  </si>
  <si>
    <t>4.centre de permanenta - primara</t>
  </si>
  <si>
    <t>5. neasigurati- primara</t>
  </si>
  <si>
    <t>6.cv 40%</t>
  </si>
  <si>
    <t>7.medicamente pensionari 40%</t>
  </si>
  <si>
    <t>8. UCRAINA, din care:</t>
  </si>
  <si>
    <t>~cost volum rezultat</t>
  </si>
  <si>
    <t>~cost volum</t>
  </si>
  <si>
    <t>Medicamente pentru boli cronice cu risc crescut utilizate in programele nationale cu scop curativ, din care:</t>
  </si>
  <si>
    <t>Dispozitive si echipamente medicale</t>
  </si>
  <si>
    <t>Asistenta medicala primara</t>
  </si>
  <si>
    <t>Asistenta medicala  pentru specialitati clinice</t>
  </si>
  <si>
    <t xml:space="preserve">Asistenta medicala stomatologica </t>
  </si>
  <si>
    <t>Asistenta medicala pentru specialitati paraclinice, din care:</t>
  </si>
  <si>
    <t xml:space="preserve"> -activitate curenta</t>
  </si>
  <si>
    <t xml:space="preserve">  - Programul national de PET-CT</t>
  </si>
  <si>
    <t>Sume pentru evaluarea anuala a bolnavilor cu diabet zaharat (hemoglobina glicata</t>
  </si>
  <si>
    <t xml:space="preserve">  - Subprogramul de testare genetica</t>
  </si>
  <si>
    <t>Asistenta medicala in centrele medicale multifunctionale</t>
  </si>
  <si>
    <t xml:space="preserve">    ~ Subprogramul de diagnostic si de monitorizare a bolii minime reziduale a bolnavilor cu leucemii acute prin imunofenotipare, examen citogenetic si/sau FISH si examen de biologie moleculara la copii si adulti</t>
  </si>
  <si>
    <t xml:space="preserve">  ~Subprogramul de radioterapie a bolnavilor cu afectiuni oncologice</t>
  </si>
  <si>
    <t>Unitati de recuperare reabilitare a sanatatii</t>
  </si>
  <si>
    <t>Ingrijiri medicale la domiciliu</t>
  </si>
  <si>
    <t>9. Sume pt punerea in aplicare a Legii nr.109, din care:</t>
  </si>
  <si>
    <t xml:space="preserve">  - Spitale generale</t>
  </si>
  <si>
    <t xml:space="preserve"> - Asistenta medicala stomatologica</t>
  </si>
  <si>
    <t>10. Suma corespunzatoare alocaţiei de hrană din unităţile sanitare publice, din care:</t>
  </si>
  <si>
    <t xml:space="preserve"> - Unitati de recuperare reabilitare a sanatatii</t>
  </si>
  <si>
    <t>11. Vouchere de vacanta cf OUG nr.63/2023, din care:</t>
  </si>
  <si>
    <t xml:space="preserve"> - Servicii medicale de hemodializa si dializa peritoneala</t>
  </si>
  <si>
    <t xml:space="preserve"> - Asistenta medicala primara</t>
  </si>
  <si>
    <t xml:space="preserve"> - Asistenta medicala  pentru specialitati clinice</t>
  </si>
  <si>
    <t xml:space="preserve"> - Asistenta medicala pentru specialitati paraclinice</t>
  </si>
  <si>
    <t xml:space="preserve"> - Asistenta medicala in centrele medicale multifunctionale</t>
  </si>
  <si>
    <t>12. Medicamente imunologice folosite pentru producerea imunităţii active (sau folosite pentru prevenirea unor boli transmisibile), de care beneficiază unele segmente populaţionale în tratamentul ambulatoriu în regim de compensare</t>
  </si>
  <si>
    <t>13.Total plan de cancer, din care:</t>
  </si>
  <si>
    <t xml:space="preserve"> - Clinice</t>
  </si>
  <si>
    <t xml:space="preserve"> - Paraclinice</t>
  </si>
  <si>
    <t xml:space="preserve"> - Spitale generale</t>
  </si>
  <si>
    <t>Plan de cancer PNS</t>
  </si>
  <si>
    <t>14.Neasigurati paraclinic HIV-SIDA, hepatatita gravide</t>
  </si>
  <si>
    <t>TOTAL PLAN DE CANCER, din care:</t>
  </si>
  <si>
    <t>programe nationale de sanatate curative</t>
  </si>
  <si>
    <t>~buget FNUASS</t>
  </si>
  <si>
    <t>~buget de stat</t>
  </si>
  <si>
    <t>progamul de servicii, din care:</t>
  </si>
  <si>
    <t>TOTAL SERVICII MEDICALE, din care:</t>
  </si>
  <si>
    <t>~buget de stat, din care:</t>
  </si>
  <si>
    <t>ucraina</t>
  </si>
  <si>
    <t>programe nationale de sanatate curative, din care:</t>
  </si>
  <si>
    <t>progamul de servicii</t>
  </si>
  <si>
    <t>programul cv/cvr, din care:</t>
  </si>
  <si>
    <t xml:space="preserve"> - cvr</t>
  </si>
  <si>
    <t xml:space="preserve"> - cv fara 90%</t>
  </si>
  <si>
    <t xml:space="preserve"> - cv 50%</t>
  </si>
  <si>
    <t xml:space="preserve"> - cv 40%</t>
  </si>
  <si>
    <t xml:space="preserve"> - cv pns</t>
  </si>
  <si>
    <t>verificare</t>
  </si>
  <si>
    <t xml:space="preserve">  -  indemniatie lunara pentru medici care efectueaza lunar o garda/doua garzi conform art. 3^1 ,alin. (1^1), lit a) si b) din capitolul II al anexei nr.II la Legea-cadru nr. 153/2017, cu modificările și completările ulterioare aduse de OUG nr. 19/2024</t>
  </si>
  <si>
    <t xml:space="preserve"> ~ influente financiare determinate de cresterile salariale prevazute de  OUG nr.115/2023 cu modificările şi completările ulterioare,( pentru care sursa de finantare este stabilita prin  OUG19/2024)</t>
  </si>
  <si>
    <t xml:space="preserve"> ~ influente financiare determinate de cresterile salariale prevazute de art.I,  din OUG nr.19/2024 cu modificările şi completările ulterioare,</t>
  </si>
  <si>
    <t>PLATI EFECTUATE IN ANII PRECEDENTI SI RECUPERATE IN ANUL CURENT</t>
  </si>
  <si>
    <t>TITLUL XV ACTIVE NEFINANCIARE</t>
  </si>
  <si>
    <t>Sume aferente persoanelor cu handicap neincadrate</t>
  </si>
  <si>
    <t xml:space="preserve">          - medicamente cost volum ( fara medicamente pentru pensionari cu compensare 90% pe sublista B), din care:</t>
  </si>
  <si>
    <t>Servicii medicale de hemodializa si dializa peritoneala, din care:</t>
  </si>
  <si>
    <t xml:space="preserve"> ~ activitatea curenta</t>
  </si>
  <si>
    <t xml:space="preserve"> ~ activitate curenta</t>
  </si>
  <si>
    <t xml:space="preserve">  ~Subprogramul de radioterapie a bolnavilor cu afectiuni oncologic, din care:</t>
  </si>
  <si>
    <t>50. 05</t>
  </si>
  <si>
    <t>50.05.01</t>
  </si>
  <si>
    <t>50.05.10</t>
  </si>
  <si>
    <t>50.05.20</t>
  </si>
  <si>
    <t>50.05.30</t>
  </si>
  <si>
    <t>66.05.51</t>
  </si>
  <si>
    <t>50.05.57</t>
  </si>
  <si>
    <t>50.05.59</t>
  </si>
  <si>
    <t>50.05.70</t>
  </si>
  <si>
    <t>50.05.71</t>
  </si>
  <si>
    <t>50.05.85</t>
  </si>
  <si>
    <t>66.00.05</t>
  </si>
  <si>
    <t>66.00.05.01</t>
  </si>
  <si>
    <t>66 .05</t>
  </si>
  <si>
    <t>66.05.01</t>
  </si>
  <si>
    <t>66.05.10</t>
  </si>
  <si>
    <t>66.05.10.01</t>
  </si>
  <si>
    <t>66.05.10.01.01</t>
  </si>
  <si>
    <t>66.05.10.01.05</t>
  </si>
  <si>
    <t>66.05.10.01.06</t>
  </si>
  <si>
    <t>66.05.10.01.12</t>
  </si>
  <si>
    <t>66.05.10.01.13</t>
  </si>
  <si>
    <t>66.05.10.01.14</t>
  </si>
  <si>
    <t>66.05.10.01.17</t>
  </si>
  <si>
    <t>66.05.10.01.30</t>
  </si>
  <si>
    <t>66.05.10.01.02</t>
  </si>
  <si>
    <t>66.05.10.01.02.06</t>
  </si>
  <si>
    <t>66.05.10.03</t>
  </si>
  <si>
    <t>66.05.10.03.01</t>
  </si>
  <si>
    <t>66.05.10.03.02</t>
  </si>
  <si>
    <t>66.05.10.03.03</t>
  </si>
  <si>
    <t>66.05.10.03.04</t>
  </si>
  <si>
    <t>66.05.10.03.06</t>
  </si>
  <si>
    <t>66.05.10.03.07</t>
  </si>
  <si>
    <t>66.05.20</t>
  </si>
  <si>
    <t>66.05.20.01</t>
  </si>
  <si>
    <t>66.05.20.01.01</t>
  </si>
  <si>
    <t>66.05.20.01.02</t>
  </si>
  <si>
    <t>66.05.20.01.03</t>
  </si>
  <si>
    <t>66.05.20.01.04</t>
  </si>
  <si>
    <t>66.05.20.01.05</t>
  </si>
  <si>
    <t>66.05.20.01.06</t>
  </si>
  <si>
    <t>66.05.20.01.08</t>
  </si>
  <si>
    <t>66.05.20.01.09</t>
  </si>
  <si>
    <t>66.05.20.01.09.2</t>
  </si>
  <si>
    <t>66.05.20.01.30</t>
  </si>
  <si>
    <t>66.05.20.02</t>
  </si>
  <si>
    <t>66.05.20.05</t>
  </si>
  <si>
    <t>66.05.20.05.30</t>
  </si>
  <si>
    <t>66.05.20.06</t>
  </si>
  <si>
    <t>66.05.20.06.01</t>
  </si>
  <si>
    <t>66.05.20.06.02</t>
  </si>
  <si>
    <t>66.05.20.11</t>
  </si>
  <si>
    <t>66.05.20.12</t>
  </si>
  <si>
    <t>66.05.20.13</t>
  </si>
  <si>
    <t>66.05.20.14</t>
  </si>
  <si>
    <t>66.05.20.25</t>
  </si>
  <si>
    <t>66.05.20.30</t>
  </si>
  <si>
    <t>66.05.20.30.04</t>
  </si>
  <si>
    <t>66.05.20.30.30</t>
  </si>
  <si>
    <t>66.05.30</t>
  </si>
  <si>
    <t>66.05.30.03</t>
  </si>
  <si>
    <t>66.05.30.03.02</t>
  </si>
  <si>
    <t>50.00.59</t>
  </si>
  <si>
    <t>50.00.59.17</t>
  </si>
  <si>
    <t>50.00.59.40</t>
  </si>
  <si>
    <t>66.05.70</t>
  </si>
  <si>
    <t>66.05.71</t>
  </si>
  <si>
    <t>66.05.71.01</t>
  </si>
  <si>
    <t>66.05.71.01.01</t>
  </si>
  <si>
    <t>66.05.71.01.02</t>
  </si>
  <si>
    <t>66.05.71.01.03</t>
  </si>
  <si>
    <t>66.05.71.01.30</t>
  </si>
  <si>
    <t>66.05.71.03</t>
  </si>
  <si>
    <t>66.05.02</t>
  </si>
  <si>
    <t>66.05.20.01.09.1</t>
  </si>
  <si>
    <t>66.05.03</t>
  </si>
  <si>
    <t>66.05.03.01</t>
  </si>
  <si>
    <t>66.05.03.02</t>
  </si>
  <si>
    <t>66.05.03.03</t>
  </si>
  <si>
    <t>66.05.03.04</t>
  </si>
  <si>
    <t>66.05.03.05</t>
  </si>
  <si>
    <t>66.05.04</t>
  </si>
  <si>
    <t>66.05.04.01</t>
  </si>
  <si>
    <t>66.05.04.02</t>
  </si>
  <si>
    <t>66.05.04.03</t>
  </si>
  <si>
    <t>66.05.04.04</t>
  </si>
  <si>
    <t>66.05.04.05</t>
  </si>
  <si>
    <t>66.05.05</t>
  </si>
  <si>
    <t>66.05.06</t>
  </si>
  <si>
    <t>66.05.06.01</t>
  </si>
  <si>
    <t>66.05.06.04</t>
  </si>
  <si>
    <t>66.05.07</t>
  </si>
  <si>
    <t>66.05.11</t>
  </si>
  <si>
    <t xml:space="preserve"> Plati efectuate in anii precedenti si recuperate in anul curent-SANATATE</t>
  </si>
  <si>
    <t>66.05.51.01</t>
  </si>
  <si>
    <t>66.05.51.01.66</t>
  </si>
  <si>
    <t>68.05</t>
  </si>
  <si>
    <t>68.05.01</t>
  </si>
  <si>
    <t>68.05.57.00</t>
  </si>
  <si>
    <t>68.05.57.02</t>
  </si>
  <si>
    <t>68.05.57.02.01</t>
  </si>
  <si>
    <t>68.05.05</t>
  </si>
  <si>
    <t>68.05.05.01</t>
  </si>
  <si>
    <t>68.05.06</t>
  </si>
  <si>
    <t>66.05.56</t>
  </si>
  <si>
    <t>66.05.56.72</t>
  </si>
  <si>
    <t>66.05.56.72.01</t>
  </si>
  <si>
    <t>66.05.56.72.02</t>
  </si>
  <si>
    <t>66.05.60</t>
  </si>
  <si>
    <t>66.05.60.01</t>
  </si>
  <si>
    <t>66.05.60.03</t>
  </si>
  <si>
    <t>50.08</t>
  </si>
  <si>
    <t>50.08.01</t>
  </si>
  <si>
    <t>50.08.56</t>
  </si>
  <si>
    <t>66.08</t>
  </si>
  <si>
    <t>66.08.01</t>
  </si>
  <si>
    <t>66.08.56</t>
  </si>
  <si>
    <t>66.08.56.72</t>
  </si>
  <si>
    <t>66.08.56.72.02</t>
  </si>
  <si>
    <t>50.05.56</t>
  </si>
  <si>
    <t>50.05.60</t>
  </si>
  <si>
    <t>50.05.51</t>
  </si>
  <si>
    <t xml:space="preserve"> Plati efectuate in anii precedenti si recuperate in anul curent - Asistenta sociala</t>
  </si>
  <si>
    <t>Cod</t>
  </si>
  <si>
    <t>Subprogramul de reconstructie mamara dupa afectiuni oncologice prin endoprotezare</t>
  </si>
  <si>
    <t>Programul national  de diabet zaharat</t>
  </si>
  <si>
    <t>Programul national de transplant de organe, tesuturi si celule de origine umana</t>
  </si>
  <si>
    <t>Programul national de boli endocrine</t>
  </si>
  <si>
    <t>Programul national de ortopedie</t>
  </si>
  <si>
    <t>Programul national de terapie intensiva a insuficientei hepatice</t>
  </si>
  <si>
    <t>Programul national de diagnostic si tratament cu ajutorul aparaturii de inalta performanta, din care:</t>
  </si>
  <si>
    <t>Programul national de tratament al bolilor neurologice</t>
  </si>
  <si>
    <t>Programul national de tratament al hemofiliei si talasemiei</t>
  </si>
  <si>
    <t>Programul national de sanatate mintala - Subprogramul national de tratament al bolnavilor cu toxicodependeta, precum si de testare a metabolitilor stupefiantelor</t>
  </si>
  <si>
    <t>Programul national de sanatate mintala</t>
  </si>
  <si>
    <t>Subprogramul de tratament medicamentos al bolnavilor cu afectiuni oncologice (adulti si copii) din care:</t>
  </si>
  <si>
    <t>activitatea curenta din care:</t>
  </si>
  <si>
    <t xml:space="preserve">  - activitate curenta</t>
  </si>
  <si>
    <t xml:space="preserve">  - terapie avansata CAR-T</t>
  </si>
  <si>
    <t>Subprogramul de tratament al bolnavilor cu afectiuni oncologice(adulti si copii)</t>
  </si>
  <si>
    <t xml:space="preserve"> - Programul national de tratament pentru boli rare   HTAP</t>
  </si>
  <si>
    <t xml:space="preserve">  -  Programul national de tratament pentru boli rare (medicamente incluse conditionat)</t>
  </si>
  <si>
    <t xml:space="preserve">  -  Programul national de tratament pentru boli rare (mucoviscidoza)</t>
  </si>
  <si>
    <t xml:space="preserve"> -  Programul national de tratament al bolilor neurologice</t>
  </si>
  <si>
    <t xml:space="preserve">  - Subprogramul de tratament al tulburarii depresive majore</t>
  </si>
  <si>
    <t xml:space="preserve">  - Programul national de supleere a functiei renale la bolnavii cu insuficienta renala cronica</t>
  </si>
  <si>
    <t>-activitatea curenta</t>
  </si>
  <si>
    <t>Programul national  de diabet zaharat-pompe insulina si materiale consumabile+sisteme pompe insulina cu senzori si sisteme de monitorizare continua</t>
  </si>
  <si>
    <t>Programul national de tratament al surditatii prin proteze auditive implantabile</t>
  </si>
  <si>
    <t>Programul national de tratament pentru boli rare</t>
  </si>
  <si>
    <t>Programul national de boli cardiovasculare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</si>
  <si>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</si>
  <si>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</si>
  <si>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</si>
  <si>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</si>
  <si>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Director General,</t>
  </si>
  <si>
    <t>Director Relatii Contactuale,</t>
  </si>
  <si>
    <t>Director executiv economic,</t>
  </si>
  <si>
    <t xml:space="preserve">  ~ cheltuieli aferente desfăşurării operaţiunilor de eliminare a medicamentelor expirate şi/sau neutilizate provenite de la populaţie  conform art.2 din Ordin (MS) 2684/2024 cu modificarile si completarile ulterioare</t>
  </si>
  <si>
    <t>15.  ~ cheltuieli aferente desfăşurării operaţiunilor de eliminare a medicamentelor expirate şi/sau neutilizate provenite de la populaţie  conform art.2 din Ordin (MS) 2684/2024 cu modificarile si completarile ulterioare</t>
  </si>
  <si>
    <t>per capita</t>
  </si>
  <si>
    <t>per servicii</t>
  </si>
  <si>
    <t>medici nou veniti</t>
  </si>
  <si>
    <t xml:space="preserve">    ~ activitatea curenta, din care:</t>
  </si>
  <si>
    <t xml:space="preserve"> Plati efectuate in anii precedenti si recuperate in anul curent</t>
  </si>
  <si>
    <t>Plati furnizori publici</t>
  </si>
  <si>
    <t>Plati furnizori privati</t>
  </si>
  <si>
    <r>
      <t xml:space="preserve">    ~ medicamente 40% - conform HG nr.186/2009 </t>
    </r>
    <r>
      <rPr>
        <i/>
        <sz val="12"/>
        <rFont val="Cambria"/>
        <family val="1"/>
      </rPr>
      <t xml:space="preserve">privind aprobarea Programului pentru compensarea cu 90% a preţului de referinţă al medicamentelor, </t>
    </r>
    <r>
      <rPr>
        <sz val="12"/>
        <rFont val="Cambria"/>
        <family val="1"/>
      </rPr>
      <t>cu modificarile si completarile ulterioare</t>
    </r>
  </si>
  <si>
    <r>
      <t xml:space="preserve">    ~  cost volum-rezultat, din care:</t>
    </r>
    <r>
      <rPr>
        <b/>
        <sz val="12"/>
        <color indexed="9"/>
        <rFont val="Cambria"/>
        <family val="1"/>
      </rPr>
      <t>in care:</t>
    </r>
  </si>
  <si>
    <r>
      <t>TITLUL</t>
    </r>
    <r>
      <rPr>
        <b/>
        <i/>
        <sz val="12"/>
        <rFont val="Cambria"/>
        <family val="1"/>
      </rPr>
      <t xml:space="preserve"> </t>
    </r>
    <r>
      <rPr>
        <b/>
        <sz val="12"/>
        <rFont val="Cambria"/>
        <family val="1"/>
      </rPr>
      <t>IX ASISTENTA SOCIALA</t>
    </r>
  </si>
  <si>
    <t>2=3+4</t>
  </si>
  <si>
    <t>5=6+7</t>
  </si>
  <si>
    <t>1=2+5</t>
  </si>
  <si>
    <t>8=9+12</t>
  </si>
  <si>
    <t>9=10+11</t>
  </si>
  <si>
    <t>12=13+14</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</si>
  <si>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</si>
  <si>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</si>
  <si>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</si>
  <si>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</si>
  <si>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</si>
  <si>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</si>
  <si>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</si>
  <si>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</si>
  <si>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</si>
  <si>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 2011</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</si>
  <si>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</si>
  <si>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</si>
  <si>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</si>
  <si>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</si>
  <si>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</si>
  <si>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</si>
  <si>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</si>
  <si>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</si>
  <si>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</si>
  <si>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</si>
  <si>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</si>
  <si>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</si>
  <si>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</si>
  <si>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</si>
  <si>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</si>
  <si>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</si>
  <si>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</si>
  <si>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</si>
  <si>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</si>
  <si>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</si>
  <si>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</si>
  <si>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</si>
  <si>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</si>
  <si>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</si>
  <si>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</si>
  <si>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</si>
  <si>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</si>
  <si>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</si>
  <si>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</si>
  <si>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</si>
  <si>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</si>
  <si>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</si>
  <si>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</si>
  <si>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</si>
  <si>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</si>
  <si>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</si>
  <si>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</si>
  <si>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</si>
  <si>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</si>
  <si>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</si>
  <si>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</si>
  <si>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</si>
  <si>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</si>
  <si>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</si>
  <si>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</si>
  <si>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</si>
  <si>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</si>
  <si>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</si>
  <si>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</si>
  <si>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</si>
  <si>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</si>
  <si>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</si>
  <si>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</si>
  <si>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</si>
  <si>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</si>
  <si>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</si>
  <si>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</si>
  <si>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</si>
  <si>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</si>
  <si>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</si>
  <si>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</si>
  <si>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</si>
  <si>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</si>
  <si>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</si>
  <si>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</si>
  <si>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</si>
  <si>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</si>
  <si>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</si>
  <si>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</si>
  <si>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</si>
  <si>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</si>
  <si>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</si>
  <si>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</si>
  <si>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</si>
  <si>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</si>
  <si>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</si>
  <si>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</si>
  <si>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</si>
  <si>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</si>
  <si>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</si>
  <si>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</si>
  <si>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</si>
  <si>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</si>
  <si>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</si>
  <si>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</si>
  <si>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</si>
  <si>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</si>
  <si>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</si>
  <si>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</si>
  <si>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</si>
  <si>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</si>
  <si>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</si>
  <si>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</si>
  <si>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35 00</t>
  </si>
  <si>
    <t>AMENZI, PENALITĂȚI ȘI CONFISCĂRI</t>
  </si>
  <si>
    <t>35 01</t>
  </si>
  <si>
    <t>Venituri din amenzi și alte sancțiuni aplicate potrivit dispozițiilor legale</t>
  </si>
  <si>
    <t>35 01 02</t>
  </si>
  <si>
    <t>Venituri din amenzi și alte sancțiuni aplicate de către alte instituții de specialitate</t>
  </si>
  <si>
    <t>36.05</t>
  </si>
  <si>
    <t>DIVERSE VENITURI</t>
  </si>
  <si>
    <t>36.05.01.01</t>
  </si>
  <si>
    <t>Venituri din aplicarea prescriptiei extinctive</t>
  </si>
  <si>
    <t>36.24</t>
  </si>
  <si>
    <t>Venituri din compensarea creantelor din despagubiri</t>
  </si>
  <si>
    <t>36.32.01</t>
  </si>
  <si>
    <t>Sume provenite din finantarea bugetara a anilor precedenti</t>
  </si>
  <si>
    <t>36.34.00</t>
  </si>
  <si>
    <t>Sume provenite din protocoale incheiate de CNAS cu detinatorii de autorizatii de punere pe piata sau reprezentantii legali ai acestora</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</si>
  <si>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</si>
  <si>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</si>
  <si>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</si>
  <si>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</si>
  <si>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</si>
  <si>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</si>
  <si>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</si>
  <si>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</si>
  <si>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</si>
  <si>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</si>
  <si>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</si>
  <si>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</si>
  <si>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</si>
  <si>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</si>
  <si>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</si>
  <si>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</si>
  <si>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</si>
  <si>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</si>
  <si>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</si>
  <si>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</si>
  <si>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</si>
  <si>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</si>
  <si>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</si>
  <si>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</si>
  <si>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</si>
  <si>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</si>
  <si>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</si>
  <si>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</si>
  <si>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</si>
  <si>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</si>
  <si>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</si>
  <si>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</si>
  <si>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</si>
  <si>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</si>
  <si>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</si>
  <si>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</si>
  <si>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</si>
  <si>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</si>
  <si>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</si>
  <si>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</si>
  <si>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</si>
  <si>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</si>
  <si>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</si>
  <si>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</si>
  <si>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</si>
  <si>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</si>
  <si>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</si>
  <si>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</si>
  <si>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</si>
  <si>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</si>
  <si>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</si>
  <si>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</si>
  <si>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48.05</t>
  </si>
  <si>
    <t>SUME PRIMITE DE LA UE/ALTI DONATORI IN CONTUL PLATILOR EFECTUATE SI PREFINANTARI AFERENTE CADRULUI FINANCIAR 2014-2020</t>
  </si>
  <si>
    <t>48.05.02</t>
  </si>
  <si>
    <t>49.05</t>
  </si>
  <si>
    <t>SUME AFERENTE ASISTENTEI FINANCIARE NERAMBURSABILE ALOCATE PENTRU PNRR</t>
  </si>
  <si>
    <t>49.05.02</t>
  </si>
  <si>
    <t>Sume rambursate din PNRR</t>
  </si>
  <si>
    <t>08</t>
  </si>
  <si>
    <t>FONDURI EXTERNE NERAMBURSABILE  TOTAL VENITURI</t>
  </si>
  <si>
    <t>48.08</t>
  </si>
  <si>
    <t>48.08.19</t>
  </si>
  <si>
    <t>III. OPERAȚII FINANCIARE</t>
  </si>
  <si>
    <t>40.08</t>
  </si>
  <si>
    <t>Încasări din rambursarea imprumuturilor acordate</t>
  </si>
  <si>
    <t>40.08.15</t>
  </si>
  <si>
    <t>Sume utilizate din excedentul anului precedent pentru efectuarea de cheltuieli</t>
  </si>
  <si>
    <t>40.08.15.03</t>
  </si>
  <si>
    <t>Sume utilizate de alte instituții din excedentul anului precedent</t>
  </si>
  <si>
    <t>41.08</t>
  </si>
  <si>
    <t>Alte operatiuni financiare</t>
  </si>
  <si>
    <t>41.08.04</t>
  </si>
  <si>
    <t>Sume aferente fondurilor externe nerambursabile</t>
  </si>
  <si>
    <t>47.05</t>
  </si>
  <si>
    <t>SUME ÎN CURS DE DISTRIBUIRE</t>
  </si>
  <si>
    <t>47.05.00</t>
  </si>
  <si>
    <t>Venituri ale bugetului Fondului Național unic de asigurări sociale de sănătate, încasate în contul unic, în curs de distribuire</t>
  </si>
  <si>
    <t>lei</t>
  </si>
  <si>
    <t>Plati efectuate  cumulat  pentru anul 2025, din care:</t>
  </si>
  <si>
    <t>Plati efectuate luna curenta, din care:</t>
  </si>
  <si>
    <t>Plati efectuate in luna curenta  pentru anul 2025, din care:</t>
  </si>
  <si>
    <t>Plati efectuate in  luna curenta aferente anului 2024, din care:</t>
  </si>
  <si>
    <t>Plati efectuate  cumulat in anul  2025 aferente anului 2024 , din care:</t>
  </si>
  <si>
    <t xml:space="preserve"> Alte programe comunitare finantate în perioada 2021-2027</t>
  </si>
  <si>
    <t>Sume pentru medicamente utilizate in programele nationale cu scop curativ care fac obiectul contractelor de tip COST VOLUM, din care:</t>
  </si>
  <si>
    <t xml:space="preserve">    - persoane asigurate, din care:</t>
  </si>
  <si>
    <t xml:space="preserve">           ~ activitate curenta</t>
  </si>
  <si>
    <t>Asistenta sociala in caz de boli, din care:</t>
  </si>
  <si>
    <t>~persoane fizice</t>
  </si>
  <si>
    <t>Asistenta sociala pentru familie si copii, din care:</t>
  </si>
  <si>
    <t xml:space="preserve">Alte programe comunitare finantate in perioda 2021-2027 </t>
  </si>
  <si>
    <t>x</t>
  </si>
  <si>
    <t>stimulent de performanta</t>
  </si>
  <si>
    <t>21.05.30</t>
  </si>
  <si>
    <t>Contributia de asigurari sociale de sanatate datorata de persoane fizice care opteaza la plata acestora</t>
  </si>
  <si>
    <t>CASA DE ASIGURARI DE SANATATE MARAMUREȘ</t>
  </si>
  <si>
    <t xml:space="preserve">Ec. Claudia TUNS </t>
  </si>
  <si>
    <t xml:space="preserve">Ec. Vasile MAJDIK </t>
  </si>
  <si>
    <t xml:space="preserve">Ec. Adrian MĂDĂRAS </t>
  </si>
  <si>
    <t>CASA DE ASIGURARI DE SANATATE  MARAMUREȘ</t>
  </si>
  <si>
    <t xml:space="preserve">Incasari realizate luna curenta </t>
  </si>
  <si>
    <t>Cont de executie luna  decembrie 2025 - VENITURI</t>
  </si>
  <si>
    <t>Incasari realizate cumulat la 31 decembrie 2025</t>
  </si>
  <si>
    <t xml:space="preserve">Cont de executie luna decembrie 2025 - CHELTUIELI </t>
  </si>
  <si>
    <t>Plati efectuate cumulat la 31 decembrie 2025, din care: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</si>
</sst>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l_e_i_-;\-* #,##0.00\ _l_e_i_-;_-* &quot;-&quot;??\ _l_e_i_-;_-@_-"/>
    <numFmt numFmtId="164" formatCode="#,##0.00_ ;[Red]\-#,##0.00\ "/>
    <numFmt numFmtId="165" formatCode="#,##0_ ;[Red]\-#,##0\ "/>
  </numFmts>
  <fonts count="45"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name val="Arial"/>
      <family val="2"/>
    </font>
    <font>
      <i/>
      <sz val="11"/>
      <color indexed="9"/>
      <name val="Arial"/>
      <family val="2"/>
      <charset val="238"/>
    </font>
    <font>
      <sz val="11"/>
      <color indexed="8"/>
      <name val="Calibri"/>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Cambria"/>
      <family val="1"/>
    </font>
    <font>
      <sz val="12"/>
      <name val="Cambria"/>
      <family val="1"/>
    </font>
    <font>
      <sz val="12"/>
      <color indexed="8"/>
      <name val="Cambria"/>
      <family val="1"/>
    </font>
    <font>
      <b/>
      <i/>
      <sz val="12"/>
      <name val="Cambria"/>
      <family val="1"/>
    </font>
    <font>
      <b/>
      <sz val="12"/>
      <color indexed="8"/>
      <name val="Cambria"/>
      <family val="1"/>
    </font>
    <font>
      <i/>
      <sz val="12"/>
      <name val="Cambria"/>
      <family val="1"/>
    </font>
    <font>
      <b/>
      <sz val="12"/>
      <color indexed="9"/>
      <name val="Cambria"/>
      <family val="1"/>
    </font>
    <font>
      <b/>
      <sz val="12"/>
      <color rgb="FFFF0000"/>
      <name val="Cambria"/>
      <family val="1"/>
    </font>
    <font>
      <sz val="12"/>
      <color rgb="FFFF0000"/>
      <name val="Cambria"/>
      <family val="1"/>
    </font>
    <font>
      <i/>
      <sz val="12"/>
      <color indexed="8"/>
      <name val="Cambria"/>
      <family val="1"/>
    </font>
    <font>
      <b/>
      <sz val="13"/>
      <name val="Cambria"/>
      <family val="1"/>
    </font>
    <font>
      <sz val="13"/>
      <name val="Cambria"/>
      <family val="1"/>
    </font>
    <font>
      <b/>
      <i/>
      <sz val="13"/>
      <name val="Cambria"/>
      <family val="1"/>
    </font>
    <font>
      <i/>
      <sz val="13"/>
      <name val="Cambria"/>
      <family val="1"/>
    </font>
    <font>
      <b/>
      <sz val="12"/>
      <name val="Cambria"/>
      <family val="1"/>
      <charset val="238"/>
    </font>
    <font>
      <b/>
      <sz val="13"/>
      <name val="Cambria"/>
      <family val="1"/>
      <charset val="238"/>
    </font>
    <font>
      <sz val="13"/>
      <name val="Cambria"/>
      <family val="1"/>
      <charset val="238"/>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s>
  <cellStyleXfs count="90">
    <xf numFmtId="0" fontId="0" fillId="0" borderId="0"/>
    <xf numFmtId="0" fontId="6" fillId="0" borderId="0"/>
    <xf numFmtId="0" fontId="7" fillId="0" borderId="0"/>
    <xf numFmtId="0" fontId="7" fillId="0" borderId="0"/>
    <xf numFmtId="0" fontId="8" fillId="0" borderId="0"/>
    <xf numFmtId="0" fontId="6" fillId="0" borderId="0"/>
    <xf numFmtId="0" fontId="6" fillId="0" borderId="0"/>
    <xf numFmtId="0" fontId="8" fillId="0" borderId="0"/>
    <xf numFmtId="0" fontId="5" fillId="0" borderId="0"/>
    <xf numFmtId="0" fontId="8" fillId="0" borderId="0"/>
    <xf numFmtId="0" fontId="5" fillId="0" borderId="0"/>
    <xf numFmtId="0" fontId="10" fillId="0" borderId="0"/>
    <xf numFmtId="0" fontId="6" fillId="0" borderId="0"/>
    <xf numFmtId="0" fontId="5" fillId="0" borderId="0"/>
    <xf numFmtId="0" fontId="6" fillId="0" borderId="0"/>
    <xf numFmtId="0" fontId="4" fillId="0" borderId="0"/>
    <xf numFmtId="0" fontId="6" fillId="0" borderId="0"/>
    <xf numFmtId="43" fontId="6" fillId="0" borderId="0" applyFont="0" applyFill="0" applyBorder="0" applyAlignment="0" applyProtection="0"/>
    <xf numFmtId="0" fontId="3" fillId="0" borderId="0"/>
    <xf numFmtId="0" fontId="3" fillId="0" borderId="0"/>
    <xf numFmtId="0" fontId="6" fillId="0" borderId="0"/>
    <xf numFmtId="43" fontId="6" fillId="0" borderId="0" applyFont="0" applyFill="0" applyBorder="0" applyAlignment="0" applyProtection="0"/>
    <xf numFmtId="0" fontId="3" fillId="0" borderId="0"/>
    <xf numFmtId="0" fontId="3" fillId="0" borderId="0"/>
    <xf numFmtId="0" fontId="3" fillId="0" borderId="0"/>
    <xf numFmtId="0" fontId="2" fillId="0" borderId="0"/>
    <xf numFmtId="0" fontId="6"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4" fillId="21" borderId="4" applyNumberFormat="0" applyAlignment="0" applyProtection="0"/>
    <xf numFmtId="0" fontId="15" fillId="22" borderId="5" applyNumberFormat="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0" borderId="6"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0" applyNumberFormat="0" applyFill="0" applyBorder="0" applyAlignment="0" applyProtection="0"/>
    <xf numFmtId="0" fontId="21" fillId="8" borderId="4" applyNumberFormat="0" applyAlignment="0" applyProtection="0"/>
    <xf numFmtId="0" fontId="22" fillId="0" borderId="9" applyNumberFormat="0" applyFill="0" applyAlignment="0" applyProtection="0"/>
    <xf numFmtId="0" fontId="23" fillId="23" borderId="0" applyNumberFormat="0" applyBorder="0" applyAlignment="0" applyProtection="0"/>
    <xf numFmtId="0" fontId="8" fillId="24" borderId="10" applyNumberFormat="0" applyFont="0" applyAlignment="0" applyProtection="0"/>
    <xf numFmtId="0" fontId="24" fillId="21" borderId="11" applyNumberFormat="0" applyAlignment="0" applyProtection="0"/>
    <xf numFmtId="0" fontId="8" fillId="0" borderId="0"/>
    <xf numFmtId="0" fontId="25" fillId="0" borderId="0" applyNumberFormat="0" applyFill="0" applyBorder="0" applyAlignment="0" applyProtection="0"/>
    <xf numFmtId="0" fontId="26" fillId="0" borderId="12" applyNumberFormat="0" applyFill="0" applyAlignment="0" applyProtection="0"/>
    <xf numFmtId="0" fontId="27" fillId="0" borderId="0" applyNumberForma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78">
    <xf numFmtId="0" fontId="0" fillId="0" borderId="0" xfId="0"/>
    <xf numFmtId="3" fontId="39" fillId="0" borderId="0" xfId="0" applyNumberFormat="1" applyFont="1" applyFill="1" applyBorder="1" applyProtection="1">
      <protection locked="0"/>
    </xf>
    <xf numFmtId="3" fontId="38" fillId="0" borderId="0" xfId="12" applyNumberFormat="1" applyFont="1" applyFill="1" applyBorder="1" applyAlignment="1" applyProtection="1">
      <alignment vertical="center"/>
      <protection locked="0"/>
    </xf>
    <xf numFmtId="4" fontId="39" fillId="0" borderId="3" xfId="4" applyNumberFormat="1" applyFont="1" applyFill="1" applyBorder="1" applyAlignment="1" applyProtection="1">
      <alignment wrapText="1"/>
      <protection locked="0"/>
    </xf>
    <xf numFmtId="3" fontId="28" fillId="0" borderId="0" xfId="0" applyNumberFormat="1" applyFont="1" applyFill="1" applyBorder="1" applyAlignment="1" applyProtection="1">
      <alignment horizontal="right"/>
      <protection locked="0"/>
    </xf>
    <xf numFmtId="0" fontId="38" fillId="0" borderId="0" xfId="5" applyFont="1" applyFill="1" applyBorder="1" applyAlignment="1" applyProtection="1">
      <protection locked="0"/>
    </xf>
    <xf numFmtId="4" fontId="38" fillId="0" borderId="0" xfId="5" applyNumberFormat="1" applyFont="1" applyFill="1" applyBorder="1" applyAlignment="1" applyProtection="1">
      <alignment horizontal="center"/>
      <protection locked="0"/>
    </xf>
    <xf numFmtId="4" fontId="39" fillId="0" borderId="0" xfId="1" applyNumberFormat="1" applyFont="1" applyFill="1" applyBorder="1" applyProtection="1">
      <protection locked="0"/>
    </xf>
    <xf numFmtId="3" fontId="39" fillId="0" borderId="0" xfId="1" applyNumberFormat="1" applyFont="1" applyFill="1" applyBorder="1" applyProtection="1">
      <protection locked="0"/>
    </xf>
    <xf numFmtId="3" fontId="39" fillId="0" borderId="0" xfId="1" applyNumberFormat="1" applyFont="1" applyFill="1" applyBorder="1" applyAlignment="1" applyProtection="1">
      <alignment wrapText="1"/>
      <protection locked="0"/>
    </xf>
    <xf numFmtId="3" fontId="40" fillId="0" borderId="0" xfId="1" applyNumberFormat="1" applyFont="1" applyFill="1" applyBorder="1" applyProtection="1">
      <protection locked="0"/>
    </xf>
    <xf numFmtId="3" fontId="41" fillId="0" borderId="0" xfId="1" applyNumberFormat="1" applyFont="1" applyFill="1" applyBorder="1" applyAlignment="1" applyProtection="1">
      <alignment horizontal="center" wrapText="1"/>
      <protection locked="0"/>
    </xf>
    <xf numFmtId="4" fontId="40" fillId="0" borderId="0" xfId="1" applyNumberFormat="1" applyFont="1" applyFill="1" applyBorder="1" applyProtection="1">
      <protection locked="0"/>
    </xf>
    <xf numFmtId="164" fontId="39" fillId="0" borderId="0" xfId="1" applyNumberFormat="1" applyFont="1" applyFill="1" applyBorder="1" applyAlignment="1" applyProtection="1">
      <alignment horizontal="left" vertical="center" wrapText="1"/>
      <protection locked="0"/>
    </xf>
    <xf numFmtId="164" fontId="38" fillId="0" borderId="0" xfId="1" applyNumberFormat="1" applyFont="1" applyFill="1" applyBorder="1" applyAlignment="1" applyProtection="1">
      <alignment horizontal="right" wrapText="1"/>
      <protection locked="0"/>
    </xf>
    <xf numFmtId="164" fontId="39" fillId="0" borderId="0" xfId="1" applyNumberFormat="1" applyFont="1" applyFill="1" applyBorder="1" applyProtection="1">
      <protection locked="0"/>
    </xf>
    <xf numFmtId="4" fontId="38" fillId="0" borderId="3" xfId="0" applyNumberFormat="1" applyFont="1" applyFill="1" applyBorder="1" applyAlignment="1" applyProtection="1">
      <alignment horizontal="center" vertical="center" wrapText="1"/>
      <protection locked="0"/>
    </xf>
    <xf numFmtId="164" fontId="40" fillId="0" borderId="3" xfId="1" applyNumberFormat="1" applyFont="1" applyFill="1" applyBorder="1" applyAlignment="1" applyProtection="1">
      <alignment horizontal="center" vertical="center" wrapText="1"/>
      <protection locked="0"/>
    </xf>
    <xf numFmtId="3" fontId="38" fillId="0" borderId="3" xfId="0" applyNumberFormat="1" applyFont="1" applyFill="1" applyBorder="1" applyAlignment="1" applyProtection="1">
      <alignment horizontal="center" vertical="center" wrapText="1"/>
      <protection locked="0"/>
    </xf>
    <xf numFmtId="164" fontId="40" fillId="0" borderId="0" xfId="1" applyNumberFormat="1" applyFont="1" applyFill="1" applyBorder="1" applyAlignment="1" applyProtection="1">
      <alignment horizontal="center" vertical="center" wrapText="1"/>
      <protection locked="0"/>
    </xf>
    <xf numFmtId="4" fontId="38" fillId="0" borderId="3" xfId="0" applyNumberFormat="1" applyFont="1" applyFill="1" applyBorder="1" applyAlignment="1" applyProtection="1">
      <alignment wrapText="1"/>
      <protection locked="0"/>
    </xf>
    <xf numFmtId="164" fontId="38" fillId="0" borderId="0" xfId="1" applyNumberFormat="1" applyFont="1" applyFill="1" applyBorder="1" applyProtection="1">
      <protection locked="0"/>
    </xf>
    <xf numFmtId="4" fontId="39" fillId="0" borderId="3" xfId="0" applyNumberFormat="1" applyFont="1" applyFill="1" applyBorder="1" applyAlignment="1" applyProtection="1">
      <alignment wrapText="1"/>
      <protection locked="0"/>
    </xf>
    <xf numFmtId="0" fontId="39" fillId="0" borderId="3" xfId="0" applyFont="1" applyFill="1" applyBorder="1" applyAlignment="1" applyProtection="1">
      <alignment wrapText="1"/>
      <protection locked="0"/>
    </xf>
    <xf numFmtId="2" fontId="38" fillId="0" borderId="3" xfId="0" applyNumberFormat="1" applyFont="1" applyFill="1" applyBorder="1" applyAlignment="1" applyProtection="1">
      <alignment wrapText="1"/>
      <protection locked="0"/>
    </xf>
    <xf numFmtId="2" fontId="39" fillId="0" borderId="3" xfId="0" applyNumberFormat="1" applyFont="1" applyFill="1" applyBorder="1" applyAlignment="1" applyProtection="1">
      <alignment wrapText="1"/>
      <protection locked="0"/>
    </xf>
    <xf numFmtId="4" fontId="39" fillId="0" borderId="3" xfId="0" applyNumberFormat="1" applyFont="1" applyFill="1" applyBorder="1" applyAlignment="1" applyProtection="1">
      <alignment horizontal="left" wrapText="1"/>
      <protection locked="0"/>
    </xf>
    <xf numFmtId="164" fontId="39" fillId="0" borderId="3" xfId="0" applyNumberFormat="1" applyFont="1" applyFill="1" applyBorder="1" applyAlignment="1" applyProtection="1">
      <alignment wrapText="1"/>
      <protection locked="0"/>
    </xf>
    <xf numFmtId="164" fontId="39" fillId="0" borderId="3" xfId="1" applyNumberFormat="1" applyFont="1" applyFill="1" applyBorder="1" applyAlignment="1" applyProtection="1">
      <alignment wrapText="1"/>
      <protection locked="0"/>
    </xf>
    <xf numFmtId="0" fontId="39" fillId="0" borderId="3" xfId="0" applyFont="1" applyFill="1" applyBorder="1" applyAlignment="1" applyProtection="1">
      <alignment horizontal="left" vertical="center" wrapText="1"/>
      <protection locked="0"/>
    </xf>
    <xf numFmtId="0" fontId="38" fillId="0" borderId="3" xfId="0" applyFont="1" applyFill="1" applyBorder="1" applyAlignment="1" applyProtection="1">
      <alignment horizontal="left" vertical="center" wrapText="1"/>
      <protection locked="0"/>
    </xf>
    <xf numFmtId="4" fontId="38" fillId="0" borderId="3" xfId="0" applyNumberFormat="1" applyFont="1" applyFill="1" applyBorder="1" applyAlignment="1" applyProtection="1">
      <alignment horizontal="right" vertical="center" wrapText="1"/>
      <protection locked="0"/>
    </xf>
    <xf numFmtId="2" fontId="38" fillId="0" borderId="3" xfId="0" applyNumberFormat="1" applyFont="1" applyFill="1" applyBorder="1" applyAlignment="1" applyProtection="1">
      <alignment horizontal="left" vertical="center" wrapText="1"/>
      <protection locked="0"/>
    </xf>
    <xf numFmtId="2" fontId="39" fillId="0" borderId="3" xfId="0" applyNumberFormat="1" applyFont="1" applyFill="1" applyBorder="1" applyAlignment="1" applyProtection="1">
      <alignment horizontal="left" vertical="center" wrapText="1"/>
      <protection locked="0"/>
    </xf>
    <xf numFmtId="0" fontId="38" fillId="0" borderId="3" xfId="0" applyFont="1" applyFill="1" applyBorder="1" applyAlignment="1" applyProtection="1">
      <alignment wrapText="1"/>
      <protection locked="0"/>
    </xf>
    <xf numFmtId="4" fontId="38" fillId="0" borderId="3" xfId="0" applyNumberFormat="1" applyFont="1" applyFill="1" applyBorder="1" applyAlignment="1" applyProtection="1">
      <alignment horizontal="right"/>
      <protection locked="0"/>
    </xf>
    <xf numFmtId="2" fontId="38" fillId="0" borderId="3" xfId="0" applyNumberFormat="1" applyFont="1" applyFill="1" applyBorder="1" applyProtection="1">
      <protection locked="0"/>
    </xf>
    <xf numFmtId="164" fontId="39" fillId="0" borderId="0" xfId="1" applyNumberFormat="1" applyFont="1" applyFill="1" applyBorder="1" applyAlignment="1" applyProtection="1">
      <alignment horizontal="left" vertical="center"/>
      <protection locked="0"/>
    </xf>
    <xf numFmtId="0" fontId="38" fillId="0" borderId="0" xfId="12" applyFont="1" applyFill="1" applyBorder="1" applyAlignment="1" applyProtection="1">
      <protection locked="0"/>
    </xf>
    <xf numFmtId="3" fontId="38" fillId="0" borderId="0" xfId="69" applyNumberFormat="1" applyFont="1" applyBorder="1" applyAlignment="1" applyProtection="1">
      <alignment horizontal="center"/>
      <protection locked="0"/>
    </xf>
    <xf numFmtId="3" fontId="38" fillId="0" borderId="0" xfId="1" applyNumberFormat="1" applyFont="1" applyFill="1" applyBorder="1" applyProtection="1">
      <protection locked="0"/>
    </xf>
    <xf numFmtId="164" fontId="38" fillId="0" borderId="0" xfId="1" applyNumberFormat="1" applyFont="1" applyFill="1" applyBorder="1" applyAlignment="1" applyProtection="1">
      <alignment horizontal="right"/>
      <protection locked="0"/>
    </xf>
    <xf numFmtId="164" fontId="39" fillId="0" borderId="0" xfId="1" applyNumberFormat="1" applyFont="1" applyFill="1" applyBorder="1" applyAlignment="1" applyProtection="1">
      <alignment horizontal="right"/>
      <protection locked="0"/>
    </xf>
    <xf numFmtId="4" fontId="38" fillId="0" borderId="3" xfId="0" applyNumberFormat="1" applyFont="1" applyFill="1" applyBorder="1" applyAlignment="1" applyProtection="1">
      <alignment horizontal="right" vertical="center" wrapText="1"/>
      <protection hidden="1"/>
    </xf>
    <xf numFmtId="4" fontId="38" fillId="0" borderId="3" xfId="0" applyNumberFormat="1" applyFont="1" applyFill="1" applyBorder="1" applyAlignment="1" applyProtection="1">
      <alignment horizontal="right"/>
      <protection hidden="1"/>
    </xf>
    <xf numFmtId="164" fontId="29" fillId="2" borderId="1" xfId="1" applyNumberFormat="1" applyFont="1" applyFill="1" applyBorder="1" applyAlignment="1" applyProtection="1">
      <alignment horizontal="left" vertical="center" wrapText="1"/>
      <protection locked="0"/>
    </xf>
    <xf numFmtId="164" fontId="28" fillId="2" borderId="1" xfId="1" applyNumberFormat="1" applyFont="1" applyFill="1" applyBorder="1" applyAlignment="1" applyProtection="1">
      <alignment horizontal="left" vertical="center" wrapText="1"/>
      <protection locked="0"/>
    </xf>
    <xf numFmtId="164" fontId="33" fillId="2" borderId="1" xfId="1" applyNumberFormat="1" applyFont="1" applyFill="1" applyBorder="1" applyAlignment="1" applyProtection="1">
      <alignment vertical="center" wrapText="1"/>
      <protection locked="0"/>
    </xf>
    <xf numFmtId="4" fontId="29" fillId="2" borderId="1" xfId="1" applyNumberFormat="1" applyFont="1" applyFill="1" applyBorder="1" applyAlignment="1" applyProtection="1">
      <alignment horizontal="right" vertical="center" wrapText="1"/>
      <protection hidden="1"/>
    </xf>
    <xf numFmtId="4" fontId="28" fillId="2" borderId="1" xfId="1" applyNumberFormat="1" applyFont="1" applyFill="1" applyBorder="1" applyAlignment="1" applyProtection="1">
      <alignment horizontal="right" vertical="center" wrapText="1"/>
      <protection hidden="1"/>
    </xf>
    <xf numFmtId="4" fontId="28" fillId="2" borderId="0" xfId="5" applyNumberFormat="1" applyFont="1" applyFill="1" applyBorder="1" applyAlignment="1" applyProtection="1">
      <alignment horizontal="center"/>
      <protection locked="0"/>
    </xf>
    <xf numFmtId="3" fontId="28" fillId="2" borderId="3" xfId="0" applyNumberFormat="1" applyFont="1" applyFill="1" applyBorder="1" applyAlignment="1" applyProtection="1">
      <alignment horizontal="center" vertical="center" wrapText="1"/>
      <protection locked="0"/>
    </xf>
    <xf numFmtId="4" fontId="28" fillId="2" borderId="1" xfId="1" applyNumberFormat="1" applyFont="1" applyFill="1" applyBorder="1" applyAlignment="1" applyProtection="1">
      <alignment horizontal="right" wrapText="1"/>
      <protection hidden="1"/>
    </xf>
    <xf numFmtId="4" fontId="32" fillId="2" borderId="1" xfId="1" applyNumberFormat="1" applyFont="1" applyFill="1" applyBorder="1" applyAlignment="1" applyProtection="1">
      <alignment horizontal="right" wrapText="1"/>
      <protection hidden="1"/>
    </xf>
    <xf numFmtId="4" fontId="32" fillId="2" borderId="1" xfId="1" applyNumberFormat="1" applyFont="1" applyFill="1" applyBorder="1" applyAlignment="1" applyProtection="1">
      <alignment horizontal="right" vertical="center" wrapText="1"/>
      <protection hidden="1"/>
    </xf>
    <xf numFmtId="4" fontId="29" fillId="2" borderId="1" xfId="1" applyNumberFormat="1" applyFont="1" applyFill="1" applyBorder="1" applyAlignment="1" applyProtection="1">
      <alignment horizontal="right"/>
      <protection hidden="1"/>
    </xf>
    <xf numFmtId="4" fontId="29" fillId="2" borderId="1" xfId="1" applyNumberFormat="1" applyFont="1" applyFill="1" applyBorder="1" applyAlignment="1" applyProtection="1">
      <alignment vertical="center" wrapText="1"/>
      <protection hidden="1"/>
    </xf>
    <xf numFmtId="4" fontId="28" fillId="2" borderId="1" xfId="1" applyNumberFormat="1" applyFont="1" applyFill="1" applyBorder="1" applyAlignment="1" applyProtection="1">
      <alignment vertical="center" wrapText="1"/>
      <protection hidden="1"/>
    </xf>
    <xf numFmtId="4" fontId="29" fillId="2" borderId="1" xfId="1" applyNumberFormat="1" applyFont="1" applyFill="1" applyBorder="1" applyAlignment="1" applyProtection="1">
      <alignment horizontal="right"/>
      <protection locked="0"/>
    </xf>
    <xf numFmtId="4" fontId="29" fillId="2" borderId="1" xfId="1" applyNumberFormat="1" applyFont="1" applyFill="1" applyBorder="1" applyAlignment="1" applyProtection="1">
      <alignment horizontal="right" wrapText="1"/>
      <protection hidden="1"/>
    </xf>
    <xf numFmtId="4" fontId="31" fillId="2" borderId="1" xfId="1" applyNumberFormat="1" applyFont="1" applyFill="1" applyBorder="1" applyAlignment="1" applyProtection="1">
      <alignment vertical="center" wrapText="1"/>
      <protection hidden="1"/>
    </xf>
    <xf numFmtId="4" fontId="28" fillId="2" borderId="1" xfId="1" applyNumberFormat="1" applyFont="1" applyFill="1" applyBorder="1" applyAlignment="1" applyProtection="1">
      <alignment wrapText="1"/>
      <protection hidden="1"/>
    </xf>
    <xf numFmtId="4" fontId="30" fillId="2" borderId="1" xfId="1" applyNumberFormat="1" applyFont="1" applyFill="1" applyBorder="1" applyAlignment="1" applyProtection="1">
      <alignment horizontal="right" vertical="center" wrapText="1"/>
      <protection hidden="1"/>
    </xf>
    <xf numFmtId="4" fontId="28" fillId="2" borderId="1" xfId="1" applyNumberFormat="1" applyFont="1" applyFill="1" applyBorder="1" applyAlignment="1" applyProtection="1">
      <alignment horizontal="right"/>
      <protection hidden="1"/>
    </xf>
    <xf numFmtId="4" fontId="32" fillId="2" borderId="0" xfId="1" applyNumberFormat="1" applyFont="1" applyFill="1" applyBorder="1" applyAlignment="1" applyProtection="1">
      <alignment horizontal="right" vertical="center" wrapText="1"/>
      <protection hidden="1"/>
    </xf>
    <xf numFmtId="4" fontId="29" fillId="2" borderId="1" xfId="1" applyNumberFormat="1" applyFont="1" applyFill="1" applyBorder="1" applyAlignment="1" applyProtection="1">
      <alignment wrapText="1"/>
      <protection hidden="1"/>
    </xf>
    <xf numFmtId="4" fontId="29" fillId="2" borderId="3" xfId="1" applyNumberFormat="1" applyFont="1" applyFill="1" applyBorder="1" applyAlignment="1" applyProtection="1">
      <alignment horizontal="right"/>
      <protection hidden="1"/>
    </xf>
    <xf numFmtId="4" fontId="28" fillId="2" borderId="1" xfId="0" applyNumberFormat="1" applyFont="1" applyFill="1" applyBorder="1" applyAlignment="1" applyProtection="1">
      <alignment horizontal="right"/>
      <protection hidden="1"/>
    </xf>
    <xf numFmtId="4" fontId="32" fillId="2" borderId="1" xfId="1" applyNumberFormat="1" applyFont="1" applyFill="1" applyBorder="1" applyAlignment="1" applyProtection="1">
      <alignment vertical="center" wrapText="1"/>
      <protection hidden="1"/>
    </xf>
    <xf numFmtId="4" fontId="30" fillId="2" borderId="3" xfId="1" applyNumberFormat="1" applyFont="1" applyFill="1" applyBorder="1" applyAlignment="1" applyProtection="1">
      <alignment vertical="center" wrapText="1"/>
      <protection hidden="1"/>
    </xf>
    <xf numFmtId="4" fontId="32" fillId="2" borderId="2"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alignment horizontal="right"/>
      <protection locked="0"/>
    </xf>
    <xf numFmtId="0" fontId="28" fillId="2" borderId="0" xfId="12" applyFont="1" applyFill="1" applyBorder="1" applyAlignment="1" applyProtection="1">
      <protection locked="0"/>
    </xf>
    <xf numFmtId="164" fontId="30" fillId="2" borderId="0" xfId="1" applyNumberFormat="1" applyFont="1" applyFill="1" applyBorder="1" applyAlignment="1" applyProtection="1">
      <alignment horizontal="right" wrapText="1"/>
      <protection locked="0"/>
    </xf>
    <xf numFmtId="164" fontId="28" fillId="2" borderId="0" xfId="1" applyNumberFormat="1" applyFont="1" applyFill="1" applyBorder="1" applyAlignment="1" applyProtection="1">
      <alignment horizontal="right"/>
      <protection locked="0"/>
    </xf>
    <xf numFmtId="164" fontId="28" fillId="2" borderId="0" xfId="1" applyNumberFormat="1" applyFont="1" applyFill="1" applyBorder="1" applyAlignment="1" applyProtection="1">
      <alignment horizontal="right" vertical="center" wrapText="1"/>
      <protection hidden="1"/>
    </xf>
    <xf numFmtId="164" fontId="28" fillId="2" borderId="0"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alignment horizontal="right" vertical="center" wrapText="1"/>
      <protection hidden="1"/>
    </xf>
    <xf numFmtId="164" fontId="29" fillId="2" borderId="0" xfId="1" applyNumberFormat="1" applyFont="1" applyFill="1" applyBorder="1" applyAlignment="1" applyProtection="1">
      <alignment horizontal="right" vertical="center" wrapText="1"/>
      <protection locked="0"/>
    </xf>
    <xf numFmtId="164" fontId="33" fillId="2" borderId="0" xfId="1" applyNumberFormat="1" applyFont="1" applyFill="1" applyBorder="1" applyAlignment="1" applyProtection="1">
      <alignment horizontal="right" vertical="center" wrapText="1"/>
      <protection hidden="1"/>
    </xf>
    <xf numFmtId="164" fontId="32" fillId="2" borderId="1" xfId="1" applyNumberFormat="1" applyFont="1" applyFill="1" applyBorder="1" applyAlignment="1" applyProtection="1">
      <alignment vertical="center" wrapText="1"/>
      <protection hidden="1"/>
    </xf>
    <xf numFmtId="164" fontId="37" fillId="2" borderId="1" xfId="1" applyNumberFormat="1" applyFont="1" applyFill="1" applyBorder="1" applyAlignment="1" applyProtection="1">
      <alignment vertical="center" wrapText="1"/>
      <protection hidden="1"/>
    </xf>
    <xf numFmtId="164" fontId="37" fillId="2" borderId="0" xfId="1" applyNumberFormat="1" applyFont="1" applyFill="1" applyBorder="1" applyAlignment="1" applyProtection="1">
      <alignment vertical="center" wrapText="1"/>
      <protection hidden="1"/>
    </xf>
    <xf numFmtId="164" fontId="33" fillId="2" borderId="0" xfId="1" applyNumberFormat="1" applyFont="1" applyFill="1" applyBorder="1" applyAlignment="1" applyProtection="1">
      <alignment horizontal="right" vertical="center" wrapText="1"/>
      <protection locked="0"/>
    </xf>
    <xf numFmtId="164" fontId="28" fillId="2" borderId="0" xfId="1" applyNumberFormat="1" applyFont="1" applyFill="1" applyBorder="1" applyAlignment="1" applyProtection="1">
      <alignment horizontal="right" vertical="center" wrapText="1"/>
      <protection locked="0"/>
    </xf>
    <xf numFmtId="164" fontId="29" fillId="2" borderId="0" xfId="1" applyNumberFormat="1" applyFont="1" applyFill="1" applyBorder="1" applyAlignment="1" applyProtection="1">
      <alignment vertical="center" wrapText="1"/>
      <protection locked="0"/>
    </xf>
    <xf numFmtId="164" fontId="28" fillId="2" borderId="0" xfId="1" applyNumberFormat="1" applyFont="1" applyFill="1" applyBorder="1" applyAlignment="1" applyProtection="1">
      <protection locked="0"/>
    </xf>
    <xf numFmtId="164" fontId="29" fillId="2" borderId="0" xfId="1" applyNumberFormat="1" applyFont="1" applyFill="1" applyBorder="1" applyProtection="1">
      <protection locked="0"/>
    </xf>
    <xf numFmtId="4" fontId="30" fillId="2" borderId="3" xfId="1" applyNumberFormat="1" applyFont="1" applyFill="1" applyBorder="1" applyAlignment="1" applyProtection="1">
      <alignment vertical="center" wrapText="1"/>
      <protection locked="0"/>
    </xf>
    <xf numFmtId="4" fontId="29" fillId="2" borderId="0" xfId="5" applyNumberFormat="1" applyFont="1" applyFill="1" applyBorder="1" applyAlignment="1" applyProtection="1">
      <alignment horizontal="center"/>
      <protection locked="0"/>
    </xf>
    <xf numFmtId="4" fontId="29" fillId="2" borderId="3" xfId="1" applyNumberFormat="1" applyFont="1" applyFill="1" applyBorder="1" applyAlignment="1" applyProtection="1">
      <alignment horizontal="center" vertical="center" wrapText="1"/>
      <protection locked="0"/>
    </xf>
    <xf numFmtId="4" fontId="30" fillId="2" borderId="1" xfId="1" applyNumberFormat="1" applyFont="1" applyFill="1" applyBorder="1" applyAlignment="1" applyProtection="1">
      <alignment horizontal="right" wrapText="1"/>
      <protection locked="0"/>
    </xf>
    <xf numFmtId="4" fontId="30" fillId="2" borderId="1" xfId="1" applyNumberFormat="1" applyFont="1" applyFill="1" applyBorder="1" applyAlignment="1" applyProtection="1">
      <alignment horizontal="right" vertical="center" wrapText="1"/>
      <protection locked="0"/>
    </xf>
    <xf numFmtId="4" fontId="29" fillId="2" borderId="1" xfId="1" applyNumberFormat="1" applyFont="1" applyFill="1" applyBorder="1" applyAlignment="1" applyProtection="1">
      <alignment horizontal="right" wrapText="1"/>
      <protection locked="0"/>
    </xf>
    <xf numFmtId="4" fontId="29" fillId="2" borderId="1" xfId="1" applyNumberFormat="1" applyFont="1" applyFill="1" applyBorder="1" applyAlignment="1" applyProtection="1">
      <alignment vertical="center" wrapText="1"/>
      <protection locked="0"/>
    </xf>
    <xf numFmtId="4" fontId="29" fillId="2" borderId="3" xfId="1" applyNumberFormat="1" applyFont="1" applyFill="1" applyBorder="1" applyAlignment="1" applyProtection="1">
      <alignment horizontal="right"/>
      <protection locked="0"/>
    </xf>
    <xf numFmtId="4" fontId="30" fillId="2" borderId="0" xfId="1" applyNumberFormat="1" applyFont="1" applyFill="1" applyBorder="1" applyAlignment="1" applyProtection="1">
      <alignment horizontal="right" vertical="center" wrapText="1"/>
      <protection hidden="1"/>
    </xf>
    <xf numFmtId="4" fontId="28" fillId="2" borderId="1" xfId="1" applyNumberFormat="1" applyFont="1" applyFill="1" applyBorder="1" applyAlignment="1" applyProtection="1">
      <alignment horizontal="right" wrapText="1"/>
      <protection locked="0"/>
    </xf>
    <xf numFmtId="4" fontId="29" fillId="2" borderId="1" xfId="0" applyNumberFormat="1" applyFont="1" applyFill="1" applyBorder="1" applyAlignment="1" applyProtection="1">
      <alignment horizontal="right"/>
      <protection locked="0"/>
    </xf>
    <xf numFmtId="4" fontId="28" fillId="2" borderId="1" xfId="1" applyNumberFormat="1" applyFont="1" applyFill="1" applyBorder="1" applyAlignment="1" applyProtection="1">
      <alignment horizontal="right" vertical="center" wrapText="1"/>
      <protection locked="0"/>
    </xf>
    <xf numFmtId="4" fontId="30" fillId="2" borderId="1" xfId="1" applyNumberFormat="1" applyFont="1" applyFill="1" applyBorder="1" applyAlignment="1" applyProtection="1">
      <alignment vertical="center" wrapText="1"/>
      <protection locked="0"/>
    </xf>
    <xf numFmtId="4" fontId="32" fillId="2" borderId="1" xfId="1" applyNumberFormat="1" applyFont="1" applyFill="1" applyBorder="1" applyAlignment="1" applyProtection="1">
      <alignment vertical="center" wrapText="1"/>
      <protection locked="0"/>
    </xf>
    <xf numFmtId="4" fontId="32" fillId="2" borderId="2" xfId="1" applyNumberFormat="1" applyFont="1" applyFill="1" applyBorder="1" applyAlignment="1" applyProtection="1">
      <alignment vertical="center" wrapText="1"/>
      <protection locked="0"/>
    </xf>
    <xf numFmtId="4" fontId="30" fillId="2" borderId="2" xfId="1" applyNumberFormat="1" applyFont="1" applyFill="1" applyBorder="1" applyAlignment="1" applyProtection="1">
      <alignment vertical="center" wrapText="1"/>
      <protection locked="0"/>
    </xf>
    <xf numFmtId="0" fontId="29" fillId="2" borderId="0" xfId="12" applyFont="1" applyFill="1" applyBorder="1" applyAlignment="1" applyProtection="1">
      <protection locked="0"/>
    </xf>
    <xf numFmtId="164" fontId="30" fillId="2" borderId="1" xfId="1" applyNumberFormat="1" applyFont="1" applyFill="1" applyBorder="1" applyAlignment="1" applyProtection="1">
      <alignment vertical="center" wrapText="1"/>
      <protection hidden="1"/>
    </xf>
    <xf numFmtId="164" fontId="30" fillId="2" borderId="0" xfId="1" applyNumberFormat="1" applyFont="1" applyFill="1" applyBorder="1" applyAlignment="1" applyProtection="1">
      <alignment vertical="center" wrapText="1"/>
      <protection hidden="1"/>
    </xf>
    <xf numFmtId="164" fontId="29" fillId="2" borderId="0" xfId="1" applyNumberFormat="1" applyFont="1" applyFill="1" applyBorder="1" applyAlignment="1" applyProtection="1">
      <protection locked="0"/>
    </xf>
    <xf numFmtId="0" fontId="28" fillId="2" borderId="0" xfId="5" applyFont="1" applyFill="1" applyBorder="1" applyAlignment="1" applyProtection="1">
      <protection locked="0"/>
    </xf>
    <xf numFmtId="164" fontId="29" fillId="2" borderId="0" xfId="1" applyNumberFormat="1" applyFont="1" applyFill="1" applyBorder="1" applyAlignment="1" applyProtection="1">
      <alignment horizontal="left" vertical="center" wrapText="1"/>
      <protection locked="0"/>
    </xf>
    <xf numFmtId="164" fontId="31" fillId="2" borderId="1" xfId="1" applyNumberFormat="1" applyFont="1" applyFill="1" applyBorder="1" applyAlignment="1" applyProtection="1">
      <alignment horizontal="center" vertical="center" wrapText="1"/>
      <protection locked="0"/>
    </xf>
    <xf numFmtId="164" fontId="33" fillId="2" borderId="1" xfId="1" applyNumberFormat="1" applyFont="1" applyFill="1" applyBorder="1" applyAlignment="1" applyProtection="1">
      <alignment horizontal="left" vertical="center" wrapText="1"/>
      <protection locked="0"/>
    </xf>
    <xf numFmtId="164" fontId="31" fillId="2" borderId="1" xfId="1" applyNumberFormat="1" applyFont="1" applyFill="1" applyBorder="1" applyAlignment="1" applyProtection="1">
      <alignment horizontal="left" vertical="center" wrapText="1"/>
      <protection locked="0"/>
    </xf>
    <xf numFmtId="164" fontId="30" fillId="2" borderId="1" xfId="1" applyNumberFormat="1" applyFont="1" applyFill="1" applyBorder="1" applyAlignment="1" applyProtection="1">
      <alignment horizontal="left" vertical="center" wrapText="1"/>
      <protection locked="0"/>
    </xf>
    <xf numFmtId="164" fontId="31" fillId="2" borderId="3" xfId="26" applyNumberFormat="1" applyFont="1" applyFill="1" applyBorder="1" applyAlignment="1" applyProtection="1">
      <alignment wrapText="1"/>
      <protection locked="0"/>
    </xf>
    <xf numFmtId="164" fontId="29" fillId="2" borderId="1" xfId="1" applyNumberFormat="1" applyFont="1" applyFill="1" applyBorder="1" applyAlignment="1" applyProtection="1">
      <alignment wrapText="1"/>
      <protection locked="0"/>
    </xf>
    <xf numFmtId="164" fontId="29" fillId="2" borderId="1" xfId="1" applyNumberFormat="1" applyFont="1" applyFill="1" applyBorder="1" applyAlignment="1" applyProtection="1">
      <alignment vertical="center" wrapText="1"/>
      <protection locked="0"/>
    </xf>
    <xf numFmtId="164" fontId="28" fillId="2" borderId="1" xfId="1" applyNumberFormat="1" applyFont="1" applyFill="1" applyBorder="1" applyAlignment="1" applyProtection="1">
      <alignment wrapText="1"/>
      <protection locked="0"/>
    </xf>
    <xf numFmtId="164" fontId="29" fillId="2" borderId="3" xfId="1" applyNumberFormat="1" applyFont="1" applyFill="1" applyBorder="1" applyAlignment="1" applyProtection="1">
      <alignment wrapText="1"/>
      <protection locked="0"/>
    </xf>
    <xf numFmtId="164" fontId="28" fillId="2" borderId="3" xfId="1" applyNumberFormat="1" applyFont="1" applyFill="1" applyBorder="1" applyAlignment="1" applyProtection="1">
      <alignment horizontal="left" vertical="center" wrapText="1"/>
      <protection locked="0"/>
    </xf>
    <xf numFmtId="164" fontId="29" fillId="2" borderId="3" xfId="26" applyNumberFormat="1" applyFont="1" applyFill="1" applyBorder="1" applyAlignment="1" applyProtection="1">
      <alignment horizontal="left" wrapText="1"/>
      <protection locked="0"/>
    </xf>
    <xf numFmtId="164" fontId="29" fillId="2" borderId="3" xfId="26" applyNumberFormat="1" applyFont="1" applyFill="1" applyBorder="1" applyAlignment="1" applyProtection="1">
      <alignment wrapText="1"/>
      <protection locked="0"/>
    </xf>
    <xf numFmtId="164" fontId="28" fillId="2" borderId="1" xfId="3" applyNumberFormat="1" applyFont="1" applyFill="1" applyBorder="1" applyAlignment="1" applyProtection="1">
      <alignment horizontal="left" vertical="center" wrapText="1"/>
      <protection locked="0"/>
    </xf>
    <xf numFmtId="164" fontId="28" fillId="2" borderId="1" xfId="2" applyNumberFormat="1" applyFont="1" applyFill="1" applyBorder="1" applyAlignment="1" applyProtection="1">
      <alignment horizontal="left" vertical="center" wrapText="1"/>
      <protection locked="0"/>
    </xf>
    <xf numFmtId="165" fontId="29" fillId="2" borderId="1" xfId="4" applyNumberFormat="1" applyFont="1" applyFill="1" applyBorder="1" applyAlignment="1" applyProtection="1">
      <alignment vertical="top" wrapText="1"/>
      <protection locked="0"/>
    </xf>
    <xf numFmtId="165" fontId="29" fillId="2" borderId="1" xfId="1" applyNumberFormat="1" applyFont="1" applyFill="1" applyBorder="1" applyAlignment="1" applyProtection="1">
      <alignment wrapText="1"/>
      <protection locked="0"/>
    </xf>
    <xf numFmtId="164" fontId="33" fillId="2" borderId="1" xfId="1" applyNumberFormat="1" applyFont="1" applyFill="1" applyBorder="1" applyAlignment="1" applyProtection="1">
      <alignment wrapText="1"/>
      <protection locked="0"/>
    </xf>
    <xf numFmtId="164" fontId="33" fillId="2" borderId="3" xfId="1" applyNumberFormat="1" applyFont="1" applyFill="1" applyBorder="1" applyAlignment="1" applyProtection="1">
      <alignment wrapText="1"/>
      <protection locked="0"/>
    </xf>
    <xf numFmtId="164" fontId="28" fillId="2" borderId="1" xfId="1" applyNumberFormat="1" applyFont="1" applyFill="1" applyBorder="1" applyAlignment="1" applyProtection="1">
      <alignment vertical="center" wrapText="1"/>
      <protection locked="0"/>
    </xf>
    <xf numFmtId="164" fontId="29" fillId="2" borderId="3" xfId="1" applyNumberFormat="1" applyFont="1" applyFill="1" applyBorder="1" applyAlignment="1" applyProtection="1">
      <alignment horizontal="left" vertical="center" wrapText="1"/>
      <protection locked="0"/>
    </xf>
    <xf numFmtId="164" fontId="28" fillId="2" borderId="2" xfId="1" applyNumberFormat="1" applyFont="1" applyFill="1" applyBorder="1" applyAlignment="1" applyProtection="1">
      <alignment horizontal="left" vertical="center" wrapText="1"/>
      <protection locked="0"/>
    </xf>
    <xf numFmtId="3" fontId="28" fillId="2" borderId="0" xfId="12" applyNumberFormat="1" applyFont="1" applyFill="1" applyBorder="1" applyAlignment="1" applyProtection="1">
      <alignment vertical="center"/>
      <protection locked="0"/>
    </xf>
    <xf numFmtId="164" fontId="29" fillId="2" borderId="0" xfId="1" applyNumberFormat="1" applyFont="1" applyFill="1" applyBorder="1" applyAlignment="1" applyProtection="1">
      <alignment horizontal="left" vertical="center"/>
      <protection locked="0"/>
    </xf>
    <xf numFmtId="3" fontId="28" fillId="2" borderId="0" xfId="1" applyNumberFormat="1" applyFont="1" applyFill="1" applyBorder="1" applyProtection="1">
      <protection locked="0"/>
    </xf>
    <xf numFmtId="164" fontId="28" fillId="2" borderId="0" xfId="1" applyNumberFormat="1" applyFont="1" applyFill="1" applyBorder="1" applyAlignment="1" applyProtection="1">
      <alignment horizontal="left" vertical="center" wrapText="1"/>
      <protection locked="0"/>
    </xf>
    <xf numFmtId="164" fontId="31" fillId="2" borderId="0" xfId="1" applyNumberFormat="1" applyFont="1" applyFill="1" applyBorder="1" applyAlignment="1" applyProtection="1">
      <alignment horizontal="left" vertical="center" wrapText="1"/>
      <protection locked="0"/>
    </xf>
    <xf numFmtId="164" fontId="29" fillId="2" borderId="0" xfId="1" applyNumberFormat="1" applyFont="1" applyFill="1" applyBorder="1" applyAlignment="1" applyProtection="1">
      <alignment horizontal="left" vertical="center" wrapText="1"/>
      <protection hidden="1"/>
    </xf>
    <xf numFmtId="164" fontId="35" fillId="2" borderId="0" xfId="1" applyNumberFormat="1" applyFont="1" applyFill="1" applyBorder="1" applyAlignment="1" applyProtection="1">
      <alignment horizontal="left" vertical="center" wrapText="1"/>
      <protection locked="0"/>
    </xf>
    <xf numFmtId="164" fontId="33" fillId="2" borderId="0" xfId="1" applyNumberFormat="1" applyFont="1" applyFill="1" applyBorder="1" applyAlignment="1" applyProtection="1">
      <alignment horizontal="left" vertical="center" wrapText="1"/>
      <protection locked="0"/>
    </xf>
    <xf numFmtId="164" fontId="35" fillId="2" borderId="0" xfId="1" applyNumberFormat="1" applyFont="1" applyFill="1" applyBorder="1" applyAlignment="1" applyProtection="1">
      <protection locked="0"/>
    </xf>
    <xf numFmtId="3" fontId="31" fillId="2" borderId="0" xfId="1" applyNumberFormat="1" applyFont="1" applyFill="1" applyBorder="1" applyProtection="1">
      <protection locked="0"/>
    </xf>
    <xf numFmtId="4" fontId="28" fillId="2" borderId="1" xfId="0" applyNumberFormat="1" applyFont="1" applyFill="1" applyBorder="1" applyAlignment="1" applyProtection="1">
      <alignment horizontal="center" vertical="center" wrapText="1"/>
      <protection locked="0"/>
    </xf>
    <xf numFmtId="164" fontId="33" fillId="2" borderId="3" xfId="1" applyNumberFormat="1" applyFont="1" applyFill="1" applyBorder="1" applyAlignment="1" applyProtection="1">
      <alignment horizontal="left" vertical="center" wrapText="1"/>
      <protection locked="0"/>
    </xf>
    <xf numFmtId="164" fontId="28" fillId="2" borderId="3" xfId="1" applyNumberFormat="1" applyFont="1" applyFill="1" applyBorder="1" applyAlignment="1" applyProtection="1">
      <alignment wrapText="1"/>
      <protection locked="0"/>
    </xf>
    <xf numFmtId="164" fontId="43" fillId="0" borderId="0" xfId="1" applyNumberFormat="1" applyFont="1" applyFill="1" applyBorder="1" applyAlignment="1" applyProtection="1">
      <alignment horizontal="left" vertical="center" wrapText="1"/>
      <protection locked="0"/>
    </xf>
    <xf numFmtId="164" fontId="43" fillId="0" borderId="0" xfId="1" applyNumberFormat="1" applyFont="1" applyFill="1" applyBorder="1" applyAlignment="1" applyProtection="1">
      <alignment horizontal="right" wrapText="1"/>
      <protection locked="0"/>
    </xf>
    <xf numFmtId="164" fontId="43" fillId="0" borderId="0" xfId="1" applyNumberFormat="1" applyFont="1" applyFill="1" applyBorder="1" applyAlignment="1" applyProtection="1">
      <alignment horizontal="left" vertical="center"/>
      <protection locked="0"/>
    </xf>
    <xf numFmtId="3" fontId="28" fillId="2" borderId="0" xfId="0" applyNumberFormat="1" applyFont="1" applyFill="1" applyBorder="1" applyAlignment="1" applyProtection="1">
      <protection locked="0"/>
    </xf>
    <xf numFmtId="3" fontId="29" fillId="2" borderId="0" xfId="1" applyNumberFormat="1" applyFont="1" applyFill="1" applyBorder="1" applyProtection="1">
      <protection locked="0"/>
    </xf>
    <xf numFmtId="3" fontId="29" fillId="2" borderId="0" xfId="0" applyNumberFormat="1" applyFont="1" applyFill="1" applyBorder="1" applyProtection="1">
      <protection locked="0"/>
    </xf>
    <xf numFmtId="164" fontId="31" fillId="2" borderId="0" xfId="1" applyNumberFormat="1" applyFont="1" applyFill="1" applyBorder="1" applyAlignment="1" applyProtection="1">
      <alignment horizontal="center" vertical="center" wrapText="1"/>
      <protection locked="0"/>
    </xf>
    <xf numFmtId="3" fontId="31" fillId="2" borderId="0" xfId="1" applyNumberFormat="1" applyFont="1" applyFill="1" applyBorder="1" applyAlignment="1" applyProtection="1">
      <alignment horizontal="center" vertical="center" wrapText="1"/>
      <protection locked="0"/>
    </xf>
    <xf numFmtId="164" fontId="28" fillId="2" borderId="0" xfId="1" applyNumberFormat="1" applyFont="1" applyFill="1" applyBorder="1" applyProtection="1">
      <protection locked="0"/>
    </xf>
    <xf numFmtId="164" fontId="31" fillId="2" borderId="0" xfId="1" applyNumberFormat="1" applyFont="1" applyFill="1" applyBorder="1" applyProtection="1">
      <protection locked="0"/>
    </xf>
    <xf numFmtId="164" fontId="30" fillId="2" borderId="0" xfId="1" applyNumberFormat="1" applyFont="1" applyFill="1" applyBorder="1" applyProtection="1">
      <protection locked="0"/>
    </xf>
    <xf numFmtId="164" fontId="33" fillId="2" borderId="0" xfId="1" applyNumberFormat="1" applyFont="1" applyFill="1" applyBorder="1" applyProtection="1">
      <protection locked="0"/>
    </xf>
    <xf numFmtId="164" fontId="36" fillId="2" borderId="0" xfId="1" applyNumberFormat="1" applyFont="1" applyFill="1" applyBorder="1" applyProtection="1">
      <protection locked="0"/>
    </xf>
    <xf numFmtId="164" fontId="35" fillId="2" borderId="0" xfId="1" applyNumberFormat="1" applyFont="1" applyFill="1" applyBorder="1" applyProtection="1">
      <protection locked="0"/>
    </xf>
    <xf numFmtId="0" fontId="38" fillId="2" borderId="0" xfId="12" applyFont="1" applyFill="1" applyBorder="1" applyAlignment="1" applyProtection="1">
      <protection locked="0"/>
    </xf>
    <xf numFmtId="3" fontId="38" fillId="2" borderId="0" xfId="1" applyNumberFormat="1" applyFont="1" applyFill="1" applyBorder="1" applyProtection="1">
      <protection locked="0"/>
    </xf>
    <xf numFmtId="164" fontId="43" fillId="2" borderId="0" xfId="1" applyNumberFormat="1" applyFont="1" applyFill="1" applyBorder="1" applyAlignment="1" applyProtection="1">
      <alignment horizontal="left" vertical="center"/>
      <protection locked="0"/>
    </xf>
    <xf numFmtId="4" fontId="44" fillId="0" borderId="3" xfId="0" applyNumberFormat="1" applyFont="1" applyFill="1" applyBorder="1" applyAlignment="1" applyProtection="1">
      <alignment horizontal="right" wrapText="1"/>
      <protection locked="0"/>
    </xf>
    <xf numFmtId="4" fontId="38" fillId="0" borderId="3" xfId="0" applyNumberFormat="1" applyFont="1" applyFill="1" applyBorder="1" applyAlignment="1" applyProtection="1">
      <alignment horizontal="right" wrapText="1"/>
      <protection locked="0"/>
    </xf>
    <xf numFmtId="4" fontId="38" fillId="0" borderId="3" xfId="0" applyNumberFormat="1" applyFont="1" applyFill="1" applyBorder="1" applyAlignment="1" applyProtection="1">
      <alignment horizontal="right" wrapText="1"/>
      <protection hidden="1"/>
    </xf>
    <xf numFmtId="4" fontId="39" fillId="0" borderId="3" xfId="0" applyNumberFormat="1" applyFont="1" applyFill="1" applyBorder="1" applyAlignment="1" applyProtection="1">
      <alignment horizontal="right" wrapText="1"/>
      <protection locked="0"/>
    </xf>
    <xf numFmtId="4" fontId="39" fillId="0" borderId="3" xfId="1" applyNumberFormat="1" applyFont="1" applyFill="1" applyBorder="1" applyAlignment="1" applyProtection="1">
      <alignment horizontal="right" wrapText="1"/>
      <protection locked="0"/>
    </xf>
    <xf numFmtId="4" fontId="39" fillId="0" borderId="3" xfId="0" applyNumberFormat="1" applyFont="1" applyFill="1" applyBorder="1" applyAlignment="1" applyProtection="1">
      <alignment horizontal="right" vertical="center" wrapText="1"/>
      <protection locked="0"/>
    </xf>
    <xf numFmtId="4" fontId="39" fillId="0" borderId="3" xfId="0" applyNumberFormat="1" applyFont="1" applyFill="1" applyBorder="1" applyAlignment="1" applyProtection="1">
      <alignment horizontal="right"/>
      <protection locked="0"/>
    </xf>
    <xf numFmtId="164" fontId="43" fillId="0" borderId="0" xfId="1" applyNumberFormat="1" applyFont="1" applyFill="1" applyBorder="1" applyAlignment="1" applyProtection="1">
      <alignment horizontal="left"/>
      <protection locked="0"/>
    </xf>
    <xf numFmtId="4" fontId="6" fillId="2" borderId="0" xfId="1" applyNumberFormat="1" applyFill="1"/>
    <xf numFmtId="4" fontId="28" fillId="2" borderId="1" xfId="1" applyNumberFormat="1" applyFont="1" applyFill="1" applyBorder="1" applyAlignment="1" applyProtection="1">
      <alignment horizontal="right"/>
      <protection locked="0"/>
    </xf>
    <xf numFmtId="4" fontId="42" fillId="2" borderId="1" xfId="1" applyNumberFormat="1" applyFont="1" applyFill="1" applyBorder="1" applyAlignment="1" applyProtection="1">
      <alignment wrapText="1"/>
      <protection hidden="1"/>
    </xf>
    <xf numFmtId="4" fontId="36" fillId="2" borderId="1" xfId="1" applyNumberFormat="1" applyFont="1" applyFill="1" applyBorder="1" applyAlignment="1" applyProtection="1">
      <alignment horizontal="right"/>
      <protection locked="0"/>
    </xf>
    <xf numFmtId="0" fontId="38" fillId="0" borderId="0" xfId="7" applyFont="1" applyFill="1" applyBorder="1" applyAlignment="1" applyProtection="1">
      <alignment horizontal="center" vertical="center" wrapText="1"/>
      <protection locked="0"/>
    </xf>
    <xf numFmtId="0" fontId="28" fillId="2" borderId="0" xfId="7" applyFont="1" applyFill="1" applyBorder="1" applyAlignment="1" applyProtection="1">
      <alignment horizontal="center" vertical="center" wrapText="1"/>
      <protection locked="0"/>
    </xf>
    <xf numFmtId="3" fontId="28" fillId="2" borderId="13" xfId="0" applyNumberFormat="1" applyFont="1" applyFill="1" applyBorder="1" applyAlignment="1" applyProtection="1">
      <alignment horizontal="center" vertical="center" wrapText="1"/>
      <protection locked="0"/>
    </xf>
    <xf numFmtId="3" fontId="28" fillId="2" borderId="14" xfId="0" applyNumberFormat="1" applyFont="1" applyFill="1" applyBorder="1" applyAlignment="1" applyProtection="1">
      <alignment horizontal="center" vertical="center" wrapText="1"/>
      <protection locked="0"/>
    </xf>
  </cellXfs>
  <cellStyles count="90">
    <cellStyle name="20% - Accent1 2" xfId="27"/>
    <cellStyle name="20% - Accent2 2" xfId="28"/>
    <cellStyle name="20% - Accent3 2" xfId="29"/>
    <cellStyle name="20% - Accent4 2" xfId="30"/>
    <cellStyle name="20% - Accent5 2" xfId="31"/>
    <cellStyle name="20% - Accent6 2" xfId="32"/>
    <cellStyle name="40% - Accent1 2" xfId="33"/>
    <cellStyle name="40% - Accent2 2" xfId="34"/>
    <cellStyle name="40% - Accent3 2" xfId="35"/>
    <cellStyle name="40% - Accent4 2" xfId="36"/>
    <cellStyle name="40% - Accent5 2" xfId="37"/>
    <cellStyle name="40% - Accent6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ulation 2" xfId="52"/>
    <cellStyle name="Check Cell 2" xfId="53"/>
    <cellStyle name="Comma 3" xfId="17"/>
    <cellStyle name="Comma 3 2" xfId="21"/>
    <cellStyle name="Explanatory Text 2" xfId="54"/>
    <cellStyle name="Good 2" xfId="55"/>
    <cellStyle name="Heading 1 2" xfId="56"/>
    <cellStyle name="Heading 2 2" xfId="57"/>
    <cellStyle name="Heading 3 2" xfId="58"/>
    <cellStyle name="Heading 4 2" xfId="59"/>
    <cellStyle name="Input 2" xfId="60"/>
    <cellStyle name="Linked Cell 2" xfId="61"/>
    <cellStyle name="Neutral 2" xfId="62"/>
    <cellStyle name="Normal" xfId="0" builtinId="0"/>
    <cellStyle name="Normal 10 5" xfId="6"/>
    <cellStyle name="Normal 11" xfId="12"/>
    <cellStyle name="Normal 19" xfId="22"/>
    <cellStyle name="Normal 19 2" xfId="23"/>
    <cellStyle name="Normal 19 2 2" xfId="25"/>
    <cellStyle name="Normal 19 2 2 2" xfId="89"/>
    <cellStyle name="Normal 19 2 2 3" xfId="79"/>
    <cellStyle name="Normal 19 2 3" xfId="87"/>
    <cellStyle name="Normal 19 2 4" xfId="77"/>
    <cellStyle name="Normal 19 3" xfId="86"/>
    <cellStyle name="Normal 19 4" xfId="8"/>
    <cellStyle name="Normal 19 4 2" xfId="80"/>
    <cellStyle name="Normal 19 4 3" xfId="70"/>
    <cellStyle name="Normal 19 5" xfId="76"/>
    <cellStyle name="Normal 2" xfId="4"/>
    <cellStyle name="Normal 2 2" xfId="9"/>
    <cellStyle name="Normal 2 2 3" xfId="20"/>
    <cellStyle name="Normal 3" xfId="13"/>
    <cellStyle name="Normal 3 2" xfId="16"/>
    <cellStyle name="Normal 3 3" xfId="82"/>
    <cellStyle name="Normal 3 4" xfId="72"/>
    <cellStyle name="Normal 4" xfId="10"/>
    <cellStyle name="Normal 4 2" xfId="24"/>
    <cellStyle name="Normal 4 2 2" xfId="88"/>
    <cellStyle name="Normal 4 2 3" xfId="78"/>
    <cellStyle name="Normal 4 3" xfId="81"/>
    <cellStyle name="Normal 4 4" xfId="71"/>
    <cellStyle name="Normal 5" xfId="14"/>
    <cellStyle name="Normal 5 2 2 2" xfId="18"/>
    <cellStyle name="Normal 5 2 2 2 2" xfId="84"/>
    <cellStyle name="Normal 5 2 2 2 3" xfId="74"/>
    <cellStyle name="Normal 5 2 3" xfId="19"/>
    <cellStyle name="Normal 5 2 3 2" xfId="85"/>
    <cellStyle name="Normal 5 2 3 3" xfId="75"/>
    <cellStyle name="Normal 6" xfId="15"/>
    <cellStyle name="Normal 6 2" xfId="83"/>
    <cellStyle name="Normal 6 3" xfId="73"/>
    <cellStyle name="Normal 7" xfId="11"/>
    <cellStyle name="Normal_anexe b03 PE CASE varianta" xfId="69"/>
    <cellStyle name="Normal_buget 2004 cf lg 507 2003 CU DEBL10% MAI cu virari" xfId="3"/>
    <cellStyle name="Normal_BUGET RECTIFICARE OUG 89 VIRARI FINALE" xfId="1"/>
    <cellStyle name="Normal_BUGET RECTIFICARE OUG 89 VIRARI FINALE_12.Cont executie CHELTUIELI DECEMBRIE 2014" xfId="26"/>
    <cellStyle name="Normal_BVC2000 exec.april.30.05 definitiv 2" xfId="5"/>
    <cellStyle name="Normal_BVC2000 exec.april.30.05 definitiv 3" xfId="7"/>
    <cellStyle name="Normal_LG 216 CALCULE BVC 2001" xfId="2"/>
    <cellStyle name="Note 2" xfId="63"/>
    <cellStyle name="Output 2" xfId="64"/>
    <cellStyle name="Style 1" xfId="65"/>
    <cellStyle name="Title 2" xfId="66"/>
    <cellStyle name="Total 2" xfId="67"/>
    <cellStyle name="Warning Text 2" xfId="68"/>
  </cellStyles>
  <dxfs count="0"/>
  <tableStyles count="0" defaultTableStyle="TableStyleMedium2" defaultPivotStyle="PivotStyleLight16"/>
  <colors>
    <mruColors>
      <color rgb="FFFF99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7030A0"/>
  </sheetPr>
  <dimension ref="A1:D115"/>
  <sheetViews>
    <sheetView zoomScale="75" zoomScaleNormal="75" workbookViewId="0">
      <pane xSplit="2" ySplit="6" topLeftCell="C7" activePane="bottomRight" state="frozen"/>
      <selection activeCell="A381" sqref="A381:XFD381"/>
      <selection pane="topRight" activeCell="A381" sqref="A381:XFD381"/>
      <selection pane="bottomLeft" activeCell="A381" sqref="A381:XFD381"/>
      <selection pane="bottomRight" activeCell="H16" sqref="H16"/>
    </sheetView>
  </sheetViews>
  <sheetFormatPr defaultRowHeight="16.5" x14ac:dyDescent="0.25"/>
  <cols>
    <col min="1" max="1" width="17" style="13" customWidth="1"/>
    <col min="2" max="2" width="65.85546875" style="13" customWidth="1"/>
    <col min="3" max="3" width="23.140625" style="42" customWidth="1"/>
    <col min="4" max="4" width="23.140625" style="15" customWidth="1"/>
    <col min="5" max="5" width="24.140625" style="15" customWidth="1"/>
    <col min="6" max="6" width="14.42578125" style="15" customWidth="1"/>
    <col min="7" max="16384" width="9.140625" style="15"/>
  </cols>
  <sheetData>
    <row r="1" spans="1:4" s="8" customFormat="1" x14ac:dyDescent="0.25">
      <c r="A1" s="5" t="s">
        <v>618</v>
      </c>
      <c r="B1" s="5"/>
      <c r="C1" s="6"/>
      <c r="D1" s="7"/>
    </row>
    <row r="2" spans="1:4" s="8" customFormat="1" x14ac:dyDescent="0.25">
      <c r="B2" s="9"/>
      <c r="C2" s="6"/>
      <c r="D2" s="7"/>
    </row>
    <row r="3" spans="1:4" s="1" customFormat="1" ht="24" customHeight="1" x14ac:dyDescent="0.25">
      <c r="A3" s="174" t="s">
        <v>624</v>
      </c>
      <c r="B3" s="174"/>
      <c r="C3" s="174"/>
      <c r="D3" s="174"/>
    </row>
    <row r="4" spans="1:4" s="10" customFormat="1" ht="14.25" customHeight="1" x14ac:dyDescent="0.25">
      <c r="B4" s="11"/>
      <c r="C4" s="12"/>
      <c r="D4" s="12"/>
    </row>
    <row r="5" spans="1:4" ht="24" customHeight="1" x14ac:dyDescent="0.25">
      <c r="C5" s="14"/>
      <c r="D5" s="4" t="s">
        <v>600</v>
      </c>
    </row>
    <row r="6" spans="1:4" s="19" customFormat="1" ht="79.5" customHeight="1" x14ac:dyDescent="0.2">
      <c r="A6" s="16" t="s">
        <v>350</v>
      </c>
      <c r="B6" s="17" t="s">
        <v>0</v>
      </c>
      <c r="C6" s="18" t="s">
        <v>625</v>
      </c>
      <c r="D6" s="18" t="s">
        <v>623</v>
      </c>
    </row>
    <row r="7" spans="1:4" s="21" customFormat="1" x14ac:dyDescent="0.25">
      <c r="A7" s="20" t="s">
        <v>403</v>
      </c>
      <c r="B7" s="20" t="s">
        <v>404</v>
      </c>
      <c r="C7" s="44">
        <f>+C8+C71+C108+C95+C97</f>
        <v>1120292635</v>
      </c>
      <c r="D7" s="44">
        <f>+D8+D71+D108+D95+D97</f>
        <v>203686579</v>
      </c>
    </row>
    <row r="8" spans="1:4" s="21" customFormat="1" x14ac:dyDescent="0.25">
      <c r="A8" s="20" t="s">
        <v>405</v>
      </c>
      <c r="B8" s="20" t="s">
        <v>406</v>
      </c>
      <c r="C8" s="44">
        <f>+C14+C53+C9</f>
        <v>871380881</v>
      </c>
      <c r="D8" s="44">
        <f t="shared" ref="D8" si="0">+D14+D53+D9</f>
        <v>76715175</v>
      </c>
    </row>
    <row r="9" spans="1:4" s="21" customFormat="1" x14ac:dyDescent="0.25">
      <c r="A9" s="20" t="s">
        <v>407</v>
      </c>
      <c r="B9" s="20" t="s">
        <v>408</v>
      </c>
      <c r="C9" s="44">
        <f>+C10+C11+C12+C13</f>
        <v>2444831</v>
      </c>
      <c r="D9" s="44">
        <f t="shared" ref="D9" si="1">+D10+D11+D12+D13</f>
        <v>526270</v>
      </c>
    </row>
    <row r="10" spans="1:4" ht="49.5" x14ac:dyDescent="0.25">
      <c r="A10" s="22" t="s">
        <v>409</v>
      </c>
      <c r="B10" s="22" t="s">
        <v>410</v>
      </c>
      <c r="C10" s="162">
        <v>2444831</v>
      </c>
      <c r="D10" s="162">
        <v>526270</v>
      </c>
    </row>
    <row r="11" spans="1:4" ht="49.5" x14ac:dyDescent="0.25">
      <c r="A11" s="22" t="s">
        <v>411</v>
      </c>
      <c r="B11" s="22" t="s">
        <v>412</v>
      </c>
      <c r="C11" s="163"/>
      <c r="D11" s="163"/>
    </row>
    <row r="12" spans="1:4" ht="33" x14ac:dyDescent="0.25">
      <c r="A12" s="22" t="s">
        <v>413</v>
      </c>
      <c r="B12" s="22" t="s">
        <v>414</v>
      </c>
      <c r="C12" s="163"/>
      <c r="D12" s="163"/>
    </row>
    <row r="13" spans="1:4" ht="49.5" x14ac:dyDescent="0.25">
      <c r="A13" s="22" t="s">
        <v>415</v>
      </c>
      <c r="B13" s="22" t="s">
        <v>416</v>
      </c>
      <c r="C13" s="163"/>
      <c r="D13" s="163"/>
    </row>
    <row r="14" spans="1:4" s="21" customFormat="1" x14ac:dyDescent="0.25">
      <c r="A14" s="20" t="s">
        <v>417</v>
      </c>
      <c r="B14" s="20" t="s">
        <v>418</v>
      </c>
      <c r="C14" s="164">
        <f>+C15+C28</f>
        <v>866554232</v>
      </c>
      <c r="D14" s="164">
        <f t="shared" ref="D14" si="2">+D15+D28</f>
        <v>76175436</v>
      </c>
    </row>
    <row r="15" spans="1:4" s="21" customFormat="1" x14ac:dyDescent="0.25">
      <c r="A15" s="20" t="s">
        <v>419</v>
      </c>
      <c r="B15" s="20" t="s">
        <v>420</v>
      </c>
      <c r="C15" s="164">
        <f>+C16+C24+C27</f>
        <v>50902541</v>
      </c>
      <c r="D15" s="164">
        <f t="shared" ref="D15" si="3">+D16+D24+D27</f>
        <v>4364651</v>
      </c>
    </row>
    <row r="16" spans="1:4" s="21" customFormat="1" ht="33" x14ac:dyDescent="0.25">
      <c r="A16" s="20" t="s">
        <v>421</v>
      </c>
      <c r="B16" s="20" t="s">
        <v>422</v>
      </c>
      <c r="C16" s="164">
        <f>C17+C18+C20+C21+C22+C19+C23</f>
        <v>1662441</v>
      </c>
      <c r="D16" s="164">
        <f t="shared" ref="D16" si="4">D17+D18+D20+D21+D22+D19+D23</f>
        <v>152713</v>
      </c>
    </row>
    <row r="17" spans="1:4" ht="33" x14ac:dyDescent="0.25">
      <c r="A17" s="22" t="s">
        <v>423</v>
      </c>
      <c r="B17" s="22" t="s">
        <v>424</v>
      </c>
      <c r="C17" s="165">
        <v>308594</v>
      </c>
      <c r="D17" s="165">
        <v>23597</v>
      </c>
    </row>
    <row r="18" spans="1:4" ht="33" x14ac:dyDescent="0.25">
      <c r="A18" s="22" t="s">
        <v>425</v>
      </c>
      <c r="B18" s="22" t="s">
        <v>426</v>
      </c>
      <c r="C18" s="165"/>
      <c r="D18" s="165"/>
    </row>
    <row r="19" spans="1:4" x14ac:dyDescent="0.25">
      <c r="A19" s="22" t="s">
        <v>427</v>
      </c>
      <c r="B19" s="22" t="s">
        <v>428</v>
      </c>
      <c r="C19" s="165"/>
      <c r="D19" s="165"/>
    </row>
    <row r="20" spans="1:4" ht="33" x14ac:dyDescent="0.25">
      <c r="A20" s="22" t="s">
        <v>429</v>
      </c>
      <c r="B20" s="22" t="s">
        <v>430</v>
      </c>
      <c r="C20" s="165"/>
      <c r="D20" s="165"/>
    </row>
    <row r="21" spans="1:4" ht="33" x14ac:dyDescent="0.25">
      <c r="A21" s="22" t="s">
        <v>431</v>
      </c>
      <c r="B21" s="22" t="s">
        <v>432</v>
      </c>
      <c r="C21" s="165"/>
      <c r="D21" s="165"/>
    </row>
    <row r="22" spans="1:4" ht="66" x14ac:dyDescent="0.25">
      <c r="A22" s="22" t="s">
        <v>433</v>
      </c>
      <c r="B22" s="22" t="s">
        <v>434</v>
      </c>
      <c r="C22" s="165"/>
      <c r="D22" s="165"/>
    </row>
    <row r="23" spans="1:4" s="21" customFormat="1" ht="33" x14ac:dyDescent="0.25">
      <c r="A23" s="22" t="s">
        <v>435</v>
      </c>
      <c r="B23" s="22" t="s">
        <v>436</v>
      </c>
      <c r="C23" s="165">
        <v>1353847</v>
      </c>
      <c r="D23" s="165">
        <v>129116</v>
      </c>
    </row>
    <row r="24" spans="1:4" x14ac:dyDescent="0.25">
      <c r="A24" s="20" t="s">
        <v>437</v>
      </c>
      <c r="B24" s="20" t="s">
        <v>1</v>
      </c>
      <c r="C24" s="164">
        <f>C25+C26</f>
        <v>49552</v>
      </c>
      <c r="D24" s="164">
        <f t="shared" ref="D24" si="5">D25+D26</f>
        <v>2327</v>
      </c>
    </row>
    <row r="25" spans="1:4" ht="33" x14ac:dyDescent="0.25">
      <c r="A25" s="22" t="s">
        <v>438</v>
      </c>
      <c r="B25" s="22" t="s">
        <v>439</v>
      </c>
      <c r="C25" s="165">
        <f>40021+9531</f>
        <v>49552</v>
      </c>
      <c r="D25" s="165">
        <f>1257+1070</f>
        <v>2327</v>
      </c>
    </row>
    <row r="26" spans="1:4" s="21" customFormat="1" ht="33" x14ac:dyDescent="0.25">
      <c r="A26" s="22" t="s">
        <v>440</v>
      </c>
      <c r="B26" s="22" t="s">
        <v>441</v>
      </c>
      <c r="C26" s="165"/>
      <c r="D26" s="165"/>
    </row>
    <row r="27" spans="1:4" s="21" customFormat="1" ht="33" x14ac:dyDescent="0.25">
      <c r="A27" s="20" t="s">
        <v>442</v>
      </c>
      <c r="B27" s="20" t="s">
        <v>443</v>
      </c>
      <c r="C27" s="165">
        <v>49190548</v>
      </c>
      <c r="D27" s="165">
        <v>4209611</v>
      </c>
    </row>
    <row r="28" spans="1:4" s="21" customFormat="1" x14ac:dyDescent="0.25">
      <c r="A28" s="20" t="s">
        <v>444</v>
      </c>
      <c r="B28" s="20" t="s">
        <v>445</v>
      </c>
      <c r="C28" s="164">
        <f>C29+C35+C52+C36+C37+C38+C39+C40+C41+C42+C43+C44+C45+C46+C47+C48+C49+C51+C50</f>
        <v>815651691</v>
      </c>
      <c r="D28" s="164">
        <f>D29+D35+D52+D36+D37+D38+D39+D40+D41+D42+D43+D44+D45+D46+D47+D48+D49+D51+D50</f>
        <v>71810785</v>
      </c>
    </row>
    <row r="29" spans="1:4" ht="33" x14ac:dyDescent="0.25">
      <c r="A29" s="20" t="s">
        <v>446</v>
      </c>
      <c r="B29" s="20" t="s">
        <v>447</v>
      </c>
      <c r="C29" s="164">
        <f>C30+C31+C32+C33+C34</f>
        <v>752071978</v>
      </c>
      <c r="D29" s="164">
        <f t="shared" ref="D29" si="6">D30+D31+D32+D33+D34</f>
        <v>68294589</v>
      </c>
    </row>
    <row r="30" spans="1:4" ht="33" x14ac:dyDescent="0.25">
      <c r="A30" s="22" t="s">
        <v>448</v>
      </c>
      <c r="B30" s="22" t="s">
        <v>449</v>
      </c>
      <c r="C30" s="165">
        <v>734843724</v>
      </c>
      <c r="D30" s="165">
        <v>61911576</v>
      </c>
    </row>
    <row r="31" spans="1:4" ht="66" x14ac:dyDescent="0.25">
      <c r="A31" s="22" t="s">
        <v>450</v>
      </c>
      <c r="B31" s="22" t="s">
        <v>451</v>
      </c>
      <c r="C31" s="165">
        <v>-1800706</v>
      </c>
      <c r="D31" s="165">
        <v>2817</v>
      </c>
    </row>
    <row r="32" spans="1:4" ht="33" x14ac:dyDescent="0.25">
      <c r="A32" s="22" t="s">
        <v>452</v>
      </c>
      <c r="B32" s="22" t="s">
        <v>453</v>
      </c>
      <c r="C32" s="165"/>
      <c r="D32" s="165"/>
    </row>
    <row r="33" spans="1:4" x14ac:dyDescent="0.25">
      <c r="A33" s="22" t="s">
        <v>454</v>
      </c>
      <c r="B33" s="22" t="s">
        <v>455</v>
      </c>
      <c r="C33" s="165">
        <v>19028960</v>
      </c>
      <c r="D33" s="165">
        <v>6380196</v>
      </c>
    </row>
    <row r="34" spans="1:4" x14ac:dyDescent="0.25">
      <c r="A34" s="22" t="s">
        <v>456</v>
      </c>
      <c r="B34" s="22" t="s">
        <v>457</v>
      </c>
      <c r="C34" s="165"/>
      <c r="D34" s="165"/>
    </row>
    <row r="35" spans="1:4" x14ac:dyDescent="0.25">
      <c r="A35" s="22" t="s">
        <v>458</v>
      </c>
      <c r="B35" s="22" t="s">
        <v>459</v>
      </c>
      <c r="C35" s="165"/>
      <c r="D35" s="165"/>
    </row>
    <row r="36" spans="1:4" ht="49.5" x14ac:dyDescent="0.25">
      <c r="A36" s="23" t="s">
        <v>460</v>
      </c>
      <c r="B36" s="23" t="s">
        <v>461</v>
      </c>
      <c r="C36" s="165"/>
      <c r="D36" s="165"/>
    </row>
    <row r="37" spans="1:4" ht="49.5" x14ac:dyDescent="0.25">
      <c r="A37" s="22" t="s">
        <v>462</v>
      </c>
      <c r="B37" s="22" t="s">
        <v>463</v>
      </c>
      <c r="C37" s="165">
        <v>8427</v>
      </c>
      <c r="D37" s="165">
        <v>5</v>
      </c>
    </row>
    <row r="38" spans="1:4" ht="82.5" x14ac:dyDescent="0.25">
      <c r="A38" s="22" t="s">
        <v>464</v>
      </c>
      <c r="B38" s="22" t="s">
        <v>465</v>
      </c>
      <c r="C38" s="165"/>
      <c r="D38" s="165"/>
    </row>
    <row r="39" spans="1:4" ht="66" x14ac:dyDescent="0.25">
      <c r="A39" s="22" t="s">
        <v>466</v>
      </c>
      <c r="B39" s="22" t="s">
        <v>467</v>
      </c>
      <c r="C39" s="165"/>
      <c r="D39" s="165"/>
    </row>
    <row r="40" spans="1:4" ht="66" x14ac:dyDescent="0.25">
      <c r="A40" s="22" t="s">
        <v>468</v>
      </c>
      <c r="B40" s="22" t="s">
        <v>469</v>
      </c>
      <c r="C40" s="165"/>
      <c r="D40" s="165"/>
    </row>
    <row r="41" spans="1:4" ht="66" x14ac:dyDescent="0.25">
      <c r="A41" s="22" t="s">
        <v>470</v>
      </c>
      <c r="B41" s="22" t="s">
        <v>471</v>
      </c>
      <c r="C41" s="165"/>
      <c r="D41" s="165"/>
    </row>
    <row r="42" spans="1:4" ht="66" customHeight="1" x14ac:dyDescent="0.25">
      <c r="A42" s="22" t="s">
        <v>472</v>
      </c>
      <c r="B42" s="22" t="s">
        <v>473</v>
      </c>
      <c r="C42" s="165">
        <v>16647</v>
      </c>
      <c r="D42" s="165">
        <v>88</v>
      </c>
    </row>
    <row r="43" spans="1:4" ht="49.5" x14ac:dyDescent="0.25">
      <c r="A43" s="22" t="s">
        <v>474</v>
      </c>
      <c r="B43" s="22" t="s">
        <v>475</v>
      </c>
      <c r="C43" s="165">
        <v>2</v>
      </c>
      <c r="D43" s="165">
        <v>0</v>
      </c>
    </row>
    <row r="44" spans="1:4" ht="49.5" x14ac:dyDescent="0.25">
      <c r="A44" s="22" t="s">
        <v>476</v>
      </c>
      <c r="B44" s="22" t="s">
        <v>477</v>
      </c>
      <c r="C44" s="165">
        <v>7122</v>
      </c>
      <c r="D44" s="165">
        <v>144</v>
      </c>
    </row>
    <row r="45" spans="1:4" x14ac:dyDescent="0.25">
      <c r="A45" s="22" t="s">
        <v>478</v>
      </c>
      <c r="B45" s="22" t="s">
        <v>479</v>
      </c>
      <c r="C45" s="165">
        <v>214619</v>
      </c>
      <c r="D45" s="165">
        <v>1817</v>
      </c>
    </row>
    <row r="46" spans="1:4" ht="33" x14ac:dyDescent="0.25">
      <c r="A46" s="22" t="s">
        <v>480</v>
      </c>
      <c r="B46" s="22" t="s">
        <v>481</v>
      </c>
      <c r="C46" s="165">
        <v>76258</v>
      </c>
      <c r="D46" s="165">
        <v>2460</v>
      </c>
    </row>
    <row r="47" spans="1:4" ht="49.5" x14ac:dyDescent="0.25">
      <c r="A47" s="3" t="s">
        <v>482</v>
      </c>
      <c r="B47" s="3" t="s">
        <v>483</v>
      </c>
      <c r="C47" s="165"/>
      <c r="D47" s="165"/>
    </row>
    <row r="48" spans="1:4" ht="33" x14ac:dyDescent="0.25">
      <c r="A48" s="3" t="s">
        <v>484</v>
      </c>
      <c r="B48" s="3" t="s">
        <v>485</v>
      </c>
      <c r="C48" s="165"/>
      <c r="D48" s="165"/>
    </row>
    <row r="49" spans="1:4" ht="49.5" x14ac:dyDescent="0.25">
      <c r="A49" s="3" t="s">
        <v>486</v>
      </c>
      <c r="B49" s="3" t="s">
        <v>487</v>
      </c>
      <c r="C49" s="165">
        <v>1446329</v>
      </c>
      <c r="D49" s="165">
        <v>78674</v>
      </c>
    </row>
    <row r="50" spans="1:4" ht="33" x14ac:dyDescent="0.25">
      <c r="A50" s="3" t="s">
        <v>616</v>
      </c>
      <c r="B50" s="3" t="s">
        <v>617</v>
      </c>
      <c r="C50" s="165">
        <v>140209</v>
      </c>
      <c r="D50" s="165">
        <v>5208</v>
      </c>
    </row>
    <row r="51" spans="1:4" ht="33" x14ac:dyDescent="0.25">
      <c r="A51" s="3" t="s">
        <v>488</v>
      </c>
      <c r="B51" s="3" t="s">
        <v>489</v>
      </c>
      <c r="C51" s="165">
        <v>54682731</v>
      </c>
      <c r="D51" s="165">
        <v>1575886</v>
      </c>
    </row>
    <row r="52" spans="1:4" s="21" customFormat="1" ht="33" x14ac:dyDescent="0.25">
      <c r="A52" s="22" t="s">
        <v>490</v>
      </c>
      <c r="B52" s="22" t="s">
        <v>491</v>
      </c>
      <c r="C52" s="165">
        <v>6987369</v>
      </c>
      <c r="D52" s="165">
        <v>1851914</v>
      </c>
    </row>
    <row r="53" spans="1:4" s="21" customFormat="1" x14ac:dyDescent="0.25">
      <c r="A53" s="20" t="s">
        <v>492</v>
      </c>
      <c r="B53" s="20" t="s">
        <v>493</v>
      </c>
      <c r="C53" s="164">
        <f>+C54+C59</f>
        <v>2381818</v>
      </c>
      <c r="D53" s="164">
        <f>+D54+D59</f>
        <v>13469</v>
      </c>
    </row>
    <row r="54" spans="1:4" s="21" customFormat="1" x14ac:dyDescent="0.25">
      <c r="A54" s="20" t="s">
        <v>494</v>
      </c>
      <c r="B54" s="20" t="s">
        <v>495</v>
      </c>
      <c r="C54" s="164">
        <f>+C55+C57</f>
        <v>0</v>
      </c>
      <c r="D54" s="164">
        <f t="shared" ref="D54" si="7">+D55+D57</f>
        <v>0</v>
      </c>
    </row>
    <row r="55" spans="1:4" x14ac:dyDescent="0.25">
      <c r="A55" s="20" t="s">
        <v>496</v>
      </c>
      <c r="B55" s="20" t="s">
        <v>497</v>
      </c>
      <c r="C55" s="164">
        <f>+C56</f>
        <v>0</v>
      </c>
      <c r="D55" s="164">
        <f t="shared" ref="D55" si="8">+D56</f>
        <v>0</v>
      </c>
    </row>
    <row r="56" spans="1:4" s="21" customFormat="1" x14ac:dyDescent="0.25">
      <c r="A56" s="22" t="s">
        <v>498</v>
      </c>
      <c r="B56" s="22" t="s">
        <v>499</v>
      </c>
      <c r="C56" s="165"/>
      <c r="D56" s="165"/>
    </row>
    <row r="57" spans="1:4" x14ac:dyDescent="0.25">
      <c r="A57" s="20" t="s">
        <v>500</v>
      </c>
      <c r="B57" s="20" t="s">
        <v>501</v>
      </c>
      <c r="C57" s="164">
        <f>+C58</f>
        <v>0</v>
      </c>
      <c r="D57" s="164">
        <f t="shared" ref="D57" si="9">+D58</f>
        <v>0</v>
      </c>
    </row>
    <row r="58" spans="1:4" s="21" customFormat="1" x14ac:dyDescent="0.25">
      <c r="A58" s="22" t="s">
        <v>502</v>
      </c>
      <c r="B58" s="22" t="s">
        <v>503</v>
      </c>
      <c r="C58" s="165"/>
      <c r="D58" s="165"/>
    </row>
    <row r="59" spans="1:4" s="21" customFormat="1" x14ac:dyDescent="0.25">
      <c r="A59" s="20" t="s">
        <v>504</v>
      </c>
      <c r="B59" s="20" t="s">
        <v>505</v>
      </c>
      <c r="C59" s="44">
        <f>+C63+C69+C60</f>
        <v>2381818</v>
      </c>
      <c r="D59" s="44">
        <f t="shared" ref="D59" si="10">+D63+D69+D60</f>
        <v>13469</v>
      </c>
    </row>
    <row r="60" spans="1:4" s="21" customFormat="1" x14ac:dyDescent="0.25">
      <c r="A60" s="24" t="s">
        <v>506</v>
      </c>
      <c r="B60" s="24" t="s">
        <v>507</v>
      </c>
      <c r="C60" s="44">
        <f>C61</f>
        <v>0</v>
      </c>
      <c r="D60" s="44">
        <f t="shared" ref="D60:D61" si="11">D61</f>
        <v>0</v>
      </c>
    </row>
    <row r="61" spans="1:4" ht="33" x14ac:dyDescent="0.25">
      <c r="A61" s="25" t="s">
        <v>508</v>
      </c>
      <c r="B61" s="25" t="s">
        <v>509</v>
      </c>
      <c r="C61" s="44">
        <f>C62</f>
        <v>0</v>
      </c>
      <c r="D61" s="44">
        <f t="shared" si="11"/>
        <v>0</v>
      </c>
    </row>
    <row r="62" spans="1:4" ht="33" x14ac:dyDescent="0.25">
      <c r="A62" s="25" t="s">
        <v>510</v>
      </c>
      <c r="B62" s="25" t="s">
        <v>511</v>
      </c>
      <c r="C62" s="35"/>
      <c r="D62" s="35"/>
    </row>
    <row r="63" spans="1:4" s="21" customFormat="1" x14ac:dyDescent="0.25">
      <c r="A63" s="20" t="s">
        <v>512</v>
      </c>
      <c r="B63" s="20" t="s">
        <v>513</v>
      </c>
      <c r="C63" s="44">
        <f>C68+C65+C66+C64+C67</f>
        <v>2381818</v>
      </c>
      <c r="D63" s="44">
        <f t="shared" ref="D63" si="12">D68+D65+D66+D64+D67</f>
        <v>13469</v>
      </c>
    </row>
    <row r="64" spans="1:4" s="21" customFormat="1" x14ac:dyDescent="0.25">
      <c r="A64" s="20" t="s">
        <v>514</v>
      </c>
      <c r="B64" s="20" t="s">
        <v>515</v>
      </c>
      <c r="C64" s="163">
        <v>2048679</v>
      </c>
      <c r="D64" s="163">
        <v>0</v>
      </c>
    </row>
    <row r="65" spans="1:4" s="21" customFormat="1" x14ac:dyDescent="0.25">
      <c r="A65" s="23" t="s">
        <v>516</v>
      </c>
      <c r="B65" s="23" t="s">
        <v>517</v>
      </c>
      <c r="C65" s="165">
        <v>-2511</v>
      </c>
      <c r="D65" s="165">
        <v>0</v>
      </c>
    </row>
    <row r="66" spans="1:4" x14ac:dyDescent="0.25">
      <c r="A66" s="25" t="s">
        <v>518</v>
      </c>
      <c r="B66" s="25" t="s">
        <v>519</v>
      </c>
      <c r="C66" s="165"/>
      <c r="D66" s="165"/>
    </row>
    <row r="67" spans="1:4" ht="49.5" x14ac:dyDescent="0.25">
      <c r="A67" s="25" t="s">
        <v>520</v>
      </c>
      <c r="B67" s="25" t="s">
        <v>521</v>
      </c>
      <c r="C67" s="165"/>
      <c r="D67" s="165"/>
    </row>
    <row r="68" spans="1:4" x14ac:dyDescent="0.25">
      <c r="A68" s="22" t="s">
        <v>522</v>
      </c>
      <c r="B68" s="22" t="s">
        <v>523</v>
      </c>
      <c r="C68" s="165">
        <v>335650</v>
      </c>
      <c r="D68" s="165">
        <v>13469</v>
      </c>
    </row>
    <row r="69" spans="1:4" ht="33" x14ac:dyDescent="0.25">
      <c r="A69" s="20" t="s">
        <v>524</v>
      </c>
      <c r="B69" s="20" t="s">
        <v>525</v>
      </c>
      <c r="C69" s="164">
        <f>C70</f>
        <v>0</v>
      </c>
      <c r="D69" s="164">
        <f t="shared" ref="D69" si="13">D70</f>
        <v>0</v>
      </c>
    </row>
    <row r="70" spans="1:4" x14ac:dyDescent="0.25">
      <c r="A70" s="22" t="s">
        <v>526</v>
      </c>
      <c r="B70" s="22" t="s">
        <v>527</v>
      </c>
      <c r="C70" s="165"/>
      <c r="D70" s="165"/>
    </row>
    <row r="71" spans="1:4" x14ac:dyDescent="0.25">
      <c r="A71" s="20" t="s">
        <v>528</v>
      </c>
      <c r="B71" s="20" t="s">
        <v>529</v>
      </c>
      <c r="C71" s="164">
        <f>+C72</f>
        <v>248105605</v>
      </c>
      <c r="D71" s="164">
        <f t="shared" ref="D71" si="14">+D72</f>
        <v>125307578</v>
      </c>
    </row>
    <row r="72" spans="1:4" ht="33" x14ac:dyDescent="0.25">
      <c r="A72" s="20" t="s">
        <v>530</v>
      </c>
      <c r="B72" s="20" t="s">
        <v>531</v>
      </c>
      <c r="C72" s="164">
        <f>+C73+C86</f>
        <v>248105605</v>
      </c>
      <c r="D72" s="164">
        <f t="shared" ref="D72" si="15">+D73+D86</f>
        <v>125307578</v>
      </c>
    </row>
    <row r="73" spans="1:4" x14ac:dyDescent="0.25">
      <c r="A73" s="20" t="s">
        <v>532</v>
      </c>
      <c r="B73" s="20" t="s">
        <v>533</v>
      </c>
      <c r="C73" s="164">
        <f>C74+C75+C76+C77+C79+C80+C81+C82+C78+C83+C84+C85</f>
        <v>248105558</v>
      </c>
      <c r="D73" s="164">
        <f t="shared" ref="D73" si="16">D74+D75+D76+D77+D79+D80+D81+D82+D78+D83+D84+D85</f>
        <v>125307578</v>
      </c>
    </row>
    <row r="74" spans="1:4" ht="33" x14ac:dyDescent="0.25">
      <c r="A74" s="22" t="s">
        <v>534</v>
      </c>
      <c r="B74" s="22" t="s">
        <v>535</v>
      </c>
      <c r="C74" s="165"/>
      <c r="D74" s="165"/>
    </row>
    <row r="75" spans="1:4" ht="49.5" customHeight="1" x14ac:dyDescent="0.25">
      <c r="A75" s="22" t="s">
        <v>536</v>
      </c>
      <c r="B75" s="22" t="s">
        <v>537</v>
      </c>
      <c r="C75" s="165"/>
      <c r="D75" s="165"/>
    </row>
    <row r="76" spans="1:4" ht="33" x14ac:dyDescent="0.25">
      <c r="A76" s="22" t="s">
        <v>538</v>
      </c>
      <c r="B76" s="22" t="s">
        <v>539</v>
      </c>
      <c r="C76" s="165">
        <v>145108420</v>
      </c>
      <c r="D76" s="165">
        <v>54996840</v>
      </c>
    </row>
    <row r="77" spans="1:4" s="21" customFormat="1" ht="33" x14ac:dyDescent="0.25">
      <c r="A77" s="26" t="s">
        <v>540</v>
      </c>
      <c r="B77" s="26" t="s">
        <v>541</v>
      </c>
      <c r="C77" s="165"/>
      <c r="D77" s="165"/>
    </row>
    <row r="78" spans="1:4" x14ac:dyDescent="0.25">
      <c r="A78" s="26" t="s">
        <v>542</v>
      </c>
      <c r="B78" s="26" t="s">
        <v>543</v>
      </c>
      <c r="C78" s="165"/>
      <c r="D78" s="165"/>
    </row>
    <row r="79" spans="1:4" ht="33" x14ac:dyDescent="0.25">
      <c r="A79" s="26" t="s">
        <v>544</v>
      </c>
      <c r="B79" s="26" t="s">
        <v>545</v>
      </c>
      <c r="C79" s="165"/>
      <c r="D79" s="165"/>
    </row>
    <row r="80" spans="1:4" ht="33" x14ac:dyDescent="0.25">
      <c r="A80" s="26" t="s">
        <v>546</v>
      </c>
      <c r="B80" s="26" t="s">
        <v>547</v>
      </c>
      <c r="C80" s="165"/>
      <c r="D80" s="165"/>
    </row>
    <row r="81" spans="1:4" ht="33" x14ac:dyDescent="0.25">
      <c r="A81" s="26" t="s">
        <v>548</v>
      </c>
      <c r="B81" s="26" t="s">
        <v>549</v>
      </c>
      <c r="C81" s="165"/>
      <c r="D81" s="165"/>
    </row>
    <row r="82" spans="1:4" ht="82.5" x14ac:dyDescent="0.25">
      <c r="A82" s="26" t="s">
        <v>550</v>
      </c>
      <c r="B82" s="26" t="s">
        <v>551</v>
      </c>
      <c r="C82" s="165"/>
      <c r="D82" s="165"/>
    </row>
    <row r="83" spans="1:4" ht="33" x14ac:dyDescent="0.25">
      <c r="A83" s="26" t="s">
        <v>552</v>
      </c>
      <c r="B83" s="26" t="s">
        <v>553</v>
      </c>
      <c r="C83" s="165">
        <v>32187868</v>
      </c>
      <c r="D83" s="165">
        <v>7095718</v>
      </c>
    </row>
    <row r="84" spans="1:4" ht="33" x14ac:dyDescent="0.25">
      <c r="A84" s="26" t="s">
        <v>554</v>
      </c>
      <c r="B84" s="26" t="s">
        <v>555</v>
      </c>
      <c r="C84" s="165"/>
      <c r="D84" s="165"/>
    </row>
    <row r="85" spans="1:4" ht="66" x14ac:dyDescent="0.25">
      <c r="A85" s="26" t="s">
        <v>556</v>
      </c>
      <c r="B85" s="26" t="s">
        <v>557</v>
      </c>
      <c r="C85" s="165">
        <v>70809270</v>
      </c>
      <c r="D85" s="165">
        <v>63215020</v>
      </c>
    </row>
    <row r="86" spans="1:4" x14ac:dyDescent="0.25">
      <c r="A86" s="20" t="s">
        <v>558</v>
      </c>
      <c r="B86" s="20" t="s">
        <v>559</v>
      </c>
      <c r="C86" s="164">
        <f>+C87+C88+C89+C90+C91+C92+C93+C94</f>
        <v>47</v>
      </c>
      <c r="D86" s="164">
        <f t="shared" ref="D86" si="17">+D87+D88+D89+D90+D91+D92+D93+D94</f>
        <v>0</v>
      </c>
    </row>
    <row r="87" spans="1:4" ht="49.5" customHeight="1" x14ac:dyDescent="0.25">
      <c r="A87" s="22" t="s">
        <v>560</v>
      </c>
      <c r="B87" s="22" t="s">
        <v>561</v>
      </c>
      <c r="C87" s="165"/>
      <c r="D87" s="165"/>
    </row>
    <row r="88" spans="1:4" ht="33" x14ac:dyDescent="0.25">
      <c r="A88" s="26" t="s">
        <v>562</v>
      </c>
      <c r="B88" s="26" t="s">
        <v>541</v>
      </c>
      <c r="C88" s="165"/>
      <c r="D88" s="165"/>
    </row>
    <row r="89" spans="1:4" ht="49.5" x14ac:dyDescent="0.25">
      <c r="A89" s="22" t="s">
        <v>563</v>
      </c>
      <c r="B89" s="22" t="s">
        <v>564</v>
      </c>
      <c r="C89" s="165">
        <v>36</v>
      </c>
      <c r="D89" s="165">
        <v>0</v>
      </c>
    </row>
    <row r="90" spans="1:4" ht="49.5" x14ac:dyDescent="0.25">
      <c r="A90" s="22" t="s">
        <v>565</v>
      </c>
      <c r="B90" s="22" t="s">
        <v>566</v>
      </c>
      <c r="C90" s="165">
        <v>34</v>
      </c>
      <c r="D90" s="165">
        <v>0</v>
      </c>
    </row>
    <row r="91" spans="1:4" ht="33" x14ac:dyDescent="0.25">
      <c r="A91" s="22" t="s">
        <v>567</v>
      </c>
      <c r="B91" s="22" t="s">
        <v>545</v>
      </c>
      <c r="C91" s="165"/>
      <c r="D91" s="165"/>
    </row>
    <row r="92" spans="1:4" ht="33" x14ac:dyDescent="0.25">
      <c r="A92" s="27" t="s">
        <v>568</v>
      </c>
      <c r="B92" s="27" t="s">
        <v>569</v>
      </c>
      <c r="C92" s="165"/>
      <c r="D92" s="165"/>
    </row>
    <row r="93" spans="1:4" s="21" customFormat="1" ht="99" x14ac:dyDescent="0.25">
      <c r="A93" s="28" t="s">
        <v>570</v>
      </c>
      <c r="B93" s="28" t="s">
        <v>571</v>
      </c>
      <c r="C93" s="166">
        <v>-23</v>
      </c>
      <c r="D93" s="166">
        <v>0</v>
      </c>
    </row>
    <row r="94" spans="1:4" s="21" customFormat="1" ht="49.5" x14ac:dyDescent="0.25">
      <c r="A94" s="29" t="s">
        <v>572</v>
      </c>
      <c r="B94" s="29" t="s">
        <v>573</v>
      </c>
      <c r="C94" s="167"/>
      <c r="D94" s="167"/>
    </row>
    <row r="95" spans="1:4" s="21" customFormat="1" ht="49.5" x14ac:dyDescent="0.25">
      <c r="A95" s="30" t="s">
        <v>574</v>
      </c>
      <c r="B95" s="30" t="s">
        <v>575</v>
      </c>
      <c r="C95" s="43">
        <f>C96</f>
        <v>0</v>
      </c>
      <c r="D95" s="43">
        <f>D96</f>
        <v>0</v>
      </c>
    </row>
    <row r="96" spans="1:4" s="21" customFormat="1" x14ac:dyDescent="0.25">
      <c r="A96" s="29" t="s">
        <v>576</v>
      </c>
      <c r="B96" s="29" t="s">
        <v>606</v>
      </c>
      <c r="C96" s="31"/>
      <c r="D96" s="31"/>
    </row>
    <row r="97" spans="1:4" s="21" customFormat="1" ht="33" x14ac:dyDescent="0.25">
      <c r="A97" s="32" t="s">
        <v>577</v>
      </c>
      <c r="B97" s="32" t="s">
        <v>578</v>
      </c>
      <c r="C97" s="44">
        <f>C98</f>
        <v>0</v>
      </c>
      <c r="D97" s="44">
        <f>D98</f>
        <v>0</v>
      </c>
    </row>
    <row r="98" spans="1:4" s="21" customFormat="1" x14ac:dyDescent="0.25">
      <c r="A98" s="33" t="s">
        <v>579</v>
      </c>
      <c r="B98" s="33" t="s">
        <v>580</v>
      </c>
      <c r="C98" s="35"/>
      <c r="D98" s="35"/>
    </row>
    <row r="99" spans="1:4" s="21" customFormat="1" ht="33" x14ac:dyDescent="0.25">
      <c r="A99" s="24" t="s">
        <v>581</v>
      </c>
      <c r="B99" s="24" t="s">
        <v>582</v>
      </c>
      <c r="C99" s="44">
        <f>C100</f>
        <v>0</v>
      </c>
      <c r="D99" s="44">
        <f>D100</f>
        <v>0</v>
      </c>
    </row>
    <row r="100" spans="1:4" s="21" customFormat="1" ht="49.5" x14ac:dyDescent="0.25">
      <c r="A100" s="24" t="s">
        <v>583</v>
      </c>
      <c r="B100" s="24" t="s">
        <v>575</v>
      </c>
      <c r="C100" s="44">
        <f>C101</f>
        <v>0</v>
      </c>
      <c r="D100" s="44">
        <f t="shared" ref="D100" si="18">D101</f>
        <v>0</v>
      </c>
    </row>
    <row r="101" spans="1:4" s="21" customFormat="1" x14ac:dyDescent="0.25">
      <c r="A101" s="25" t="s">
        <v>584</v>
      </c>
      <c r="B101" s="25" t="s">
        <v>606</v>
      </c>
      <c r="C101" s="35"/>
      <c r="D101" s="35"/>
    </row>
    <row r="102" spans="1:4" s="21" customFormat="1" x14ac:dyDescent="0.25">
      <c r="A102" s="23"/>
      <c r="B102" s="34" t="s">
        <v>585</v>
      </c>
      <c r="C102" s="44">
        <f>C103+C106</f>
        <v>0</v>
      </c>
      <c r="D102" s="44">
        <f>D103+D106</f>
        <v>0</v>
      </c>
    </row>
    <row r="103" spans="1:4" s="21" customFormat="1" x14ac:dyDescent="0.25">
      <c r="A103" s="23" t="s">
        <v>586</v>
      </c>
      <c r="B103" s="34" t="s">
        <v>587</v>
      </c>
      <c r="C103" s="44">
        <f>C104</f>
        <v>0</v>
      </c>
      <c r="D103" s="44">
        <f t="shared" ref="D103:D104" si="19">D104</f>
        <v>0</v>
      </c>
    </row>
    <row r="104" spans="1:4" s="21" customFormat="1" ht="33" x14ac:dyDescent="0.25">
      <c r="A104" s="23" t="s">
        <v>588</v>
      </c>
      <c r="B104" s="34" t="s">
        <v>589</v>
      </c>
      <c r="C104" s="44">
        <f>C105</f>
        <v>0</v>
      </c>
      <c r="D104" s="44">
        <f t="shared" si="19"/>
        <v>0</v>
      </c>
    </row>
    <row r="105" spans="1:4" s="21" customFormat="1" ht="33" x14ac:dyDescent="0.25">
      <c r="A105" s="23" t="s">
        <v>590</v>
      </c>
      <c r="B105" s="23" t="s">
        <v>591</v>
      </c>
      <c r="C105" s="35"/>
      <c r="D105" s="35"/>
    </row>
    <row r="106" spans="1:4" s="21" customFormat="1" x14ac:dyDescent="0.25">
      <c r="A106" s="36" t="s">
        <v>592</v>
      </c>
      <c r="B106" s="36" t="s">
        <v>593</v>
      </c>
      <c r="C106" s="44">
        <f>C107</f>
        <v>0</v>
      </c>
      <c r="D106" s="44">
        <f t="shared" ref="D106" si="20">D107</f>
        <v>0</v>
      </c>
    </row>
    <row r="107" spans="1:4" s="21" customFormat="1" x14ac:dyDescent="0.25">
      <c r="A107" s="36" t="s">
        <v>594</v>
      </c>
      <c r="B107" s="36" t="s">
        <v>595</v>
      </c>
      <c r="C107" s="35"/>
      <c r="D107" s="35"/>
    </row>
    <row r="108" spans="1:4" s="21" customFormat="1" x14ac:dyDescent="0.25">
      <c r="A108" s="34" t="s">
        <v>596</v>
      </c>
      <c r="B108" s="34" t="s">
        <v>597</v>
      </c>
      <c r="C108" s="44">
        <f>C109</f>
        <v>806149</v>
      </c>
      <c r="D108" s="44">
        <f t="shared" ref="D108" si="21">D109</f>
        <v>1663826</v>
      </c>
    </row>
    <row r="109" spans="1:4" s="21" customFormat="1" ht="49.5" x14ac:dyDescent="0.25">
      <c r="A109" s="23" t="s">
        <v>598</v>
      </c>
      <c r="B109" s="23" t="s">
        <v>599</v>
      </c>
      <c r="C109" s="168">
        <v>806149</v>
      </c>
      <c r="D109" s="168">
        <v>1663826</v>
      </c>
    </row>
    <row r="111" spans="1:4" x14ac:dyDescent="0.25">
      <c r="A111" s="37"/>
      <c r="B111" s="2" t="s">
        <v>382</v>
      </c>
      <c r="C111" s="38" t="s">
        <v>384</v>
      </c>
      <c r="D111" s="39"/>
    </row>
    <row r="112" spans="1:4" x14ac:dyDescent="0.25">
      <c r="A112" s="37"/>
      <c r="B112" s="147" t="s">
        <v>621</v>
      </c>
      <c r="C112" s="146" t="s">
        <v>619</v>
      </c>
    </row>
    <row r="113" spans="1:3" ht="33.75" customHeight="1" x14ac:dyDescent="0.25">
      <c r="A113" s="37"/>
      <c r="B113" s="40"/>
      <c r="C113" s="40" t="s">
        <v>383</v>
      </c>
    </row>
    <row r="114" spans="1:3" x14ac:dyDescent="0.25">
      <c r="B114" s="145"/>
      <c r="C114" s="169" t="s">
        <v>620</v>
      </c>
    </row>
    <row r="115" spans="1:3" x14ac:dyDescent="0.25">
      <c r="C115" s="41"/>
    </row>
  </sheetData>
  <sheetProtection sort="0" autoFilter="0"/>
  <protectedRanges>
    <protectedRange sqref="C108:D108 C102:D105" name="Zonă1_1_1_2" securityDescriptor="O:WDG:WDD:(A;;CC;;;AN)(A;;CC;;;AU)(A;;CC;;;WD)"/>
    <protectedRange sqref="C59:D59" name="Zonă1" securityDescriptor="O:WDG:WDD:(A;;CC;;;AN)(A;;CC;;;AU)(A;;CC;;;WD)"/>
  </protectedRanges>
  <mergeCells count="1">
    <mergeCell ref="A3:D3"/>
  </mergeCells>
  <printOptions horizontalCentered="1"/>
  <pageMargins left="0.15748031496062992" right="0.15748031496062992" top="0.19685039370078741" bottom="0.19685039370078741" header="0.51181102362204722" footer="0.51181102362204722"/>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3">
    <tabColor rgb="FF7030A0"/>
    <pageSetUpPr fitToPage="1"/>
  </sheetPr>
  <dimension ref="A1:P463"/>
  <sheetViews>
    <sheetView tabSelected="1" zoomScale="72" zoomScaleNormal="72" zoomScaleSheetLayoutView="90" workbookViewId="0">
      <pane ySplit="6" topLeftCell="A7" activePane="bottomLeft" state="frozen"/>
      <selection pane="bottomLeft" activeCell="V8" sqref="V7:V8"/>
    </sheetView>
  </sheetViews>
  <sheetFormatPr defaultRowHeight="15.75" x14ac:dyDescent="0.25"/>
  <cols>
    <col min="1" max="1" width="12" style="110" customWidth="1"/>
    <col min="2" max="2" width="65.85546875" style="110" customWidth="1"/>
    <col min="3" max="3" width="23" style="71" customWidth="1"/>
    <col min="4" max="4" width="21" style="71" hidden="1" customWidth="1"/>
    <col min="5" max="5" width="18.7109375" style="71" hidden="1" customWidth="1"/>
    <col min="6" max="6" width="18.5703125" style="71" hidden="1" customWidth="1"/>
    <col min="7" max="7" width="19" style="71" hidden="1" customWidth="1"/>
    <col min="8" max="8" width="18.85546875" style="71" hidden="1" customWidth="1"/>
    <col min="9" max="9" width="15.7109375" style="71" hidden="1" customWidth="1"/>
    <col min="10" max="10" width="23.42578125" style="71" customWidth="1"/>
    <col min="11" max="11" width="20.42578125" style="71" hidden="1" customWidth="1"/>
    <col min="12" max="12" width="18.85546875" style="71" hidden="1" customWidth="1"/>
    <col min="13" max="13" width="19.5703125" style="71" hidden="1" customWidth="1"/>
    <col min="14" max="14" width="20.42578125" style="71" hidden="1" customWidth="1"/>
    <col min="15" max="15" width="19.140625" style="71" hidden="1" customWidth="1"/>
    <col min="16" max="16" width="12.5703125" style="71" hidden="1" customWidth="1"/>
    <col min="17" max="16384" width="9.140625" style="88"/>
  </cols>
  <sheetData>
    <row r="1" spans="1:16" s="149" customFormat="1" x14ac:dyDescent="0.25">
      <c r="A1" s="109" t="s">
        <v>622</v>
      </c>
      <c r="B1" s="109"/>
      <c r="C1" s="50"/>
      <c r="D1" s="50"/>
      <c r="E1" s="90"/>
      <c r="F1" s="90"/>
      <c r="G1" s="50"/>
      <c r="H1" s="90"/>
      <c r="I1" s="90"/>
      <c r="J1" s="50"/>
      <c r="K1" s="50"/>
      <c r="L1" s="90"/>
      <c r="M1" s="90"/>
      <c r="N1" s="50"/>
      <c r="O1" s="90"/>
      <c r="P1" s="90"/>
    </row>
    <row r="2" spans="1:16" s="150" customFormat="1" ht="27" customHeight="1" x14ac:dyDescent="0.25">
      <c r="A2" s="175" t="s">
        <v>626</v>
      </c>
      <c r="B2" s="175"/>
      <c r="C2" s="175"/>
      <c r="D2" s="175"/>
      <c r="E2" s="175"/>
      <c r="F2" s="175"/>
      <c r="G2" s="175"/>
      <c r="H2" s="175"/>
      <c r="I2" s="175"/>
      <c r="J2" s="175"/>
      <c r="K2" s="175"/>
      <c r="L2" s="175"/>
      <c r="M2" s="175"/>
      <c r="N2" s="175"/>
      <c r="O2" s="175"/>
      <c r="P2" s="175"/>
    </row>
    <row r="3" spans="1:16" s="141" customFormat="1" ht="14.25" customHeight="1" x14ac:dyDescent="0.25">
      <c r="B3" s="148"/>
      <c r="C3" s="148"/>
      <c r="D3" s="148"/>
      <c r="E3" s="148"/>
      <c r="F3" s="148"/>
      <c r="G3" s="148"/>
      <c r="H3" s="148"/>
      <c r="I3" s="148"/>
      <c r="J3" s="148"/>
      <c r="K3" s="148"/>
      <c r="L3" s="148"/>
      <c r="M3" s="148"/>
      <c r="N3" s="148"/>
      <c r="O3" s="148"/>
      <c r="P3" s="148"/>
    </row>
    <row r="4" spans="1:16" ht="24" customHeight="1" x14ac:dyDescent="0.25">
      <c r="C4" s="153"/>
      <c r="D4" s="153"/>
      <c r="E4" s="153"/>
      <c r="F4" s="153"/>
      <c r="G4" s="153"/>
      <c r="H4" s="153"/>
      <c r="I4" s="153"/>
      <c r="J4" s="153"/>
      <c r="K4" s="153"/>
      <c r="L4" s="153"/>
      <c r="M4" s="153"/>
      <c r="N4" s="153"/>
      <c r="O4" s="153"/>
      <c r="P4" s="153"/>
    </row>
    <row r="5" spans="1:16" s="151" customFormat="1" ht="107.25" customHeight="1" x14ac:dyDescent="0.2">
      <c r="A5" s="142" t="s">
        <v>350</v>
      </c>
      <c r="B5" s="111" t="s">
        <v>0</v>
      </c>
      <c r="C5" s="51" t="s">
        <v>627</v>
      </c>
      <c r="D5" s="51" t="s">
        <v>601</v>
      </c>
      <c r="E5" s="91" t="s">
        <v>392</v>
      </c>
      <c r="F5" s="91" t="s">
        <v>393</v>
      </c>
      <c r="G5" s="51" t="s">
        <v>605</v>
      </c>
      <c r="H5" s="91" t="s">
        <v>392</v>
      </c>
      <c r="I5" s="91" t="s">
        <v>393</v>
      </c>
      <c r="J5" s="51" t="s">
        <v>602</v>
      </c>
      <c r="K5" s="51" t="s">
        <v>603</v>
      </c>
      <c r="L5" s="91" t="s">
        <v>392</v>
      </c>
      <c r="M5" s="91" t="s">
        <v>393</v>
      </c>
      <c r="N5" s="51" t="s">
        <v>604</v>
      </c>
      <c r="O5" s="91" t="s">
        <v>392</v>
      </c>
      <c r="P5" s="91" t="s">
        <v>393</v>
      </c>
    </row>
    <row r="6" spans="1:16" s="152" customFormat="1" x14ac:dyDescent="0.2">
      <c r="A6" s="176">
        <v>0</v>
      </c>
      <c r="B6" s="177"/>
      <c r="C6" s="51" t="s">
        <v>399</v>
      </c>
      <c r="D6" s="51" t="s">
        <v>397</v>
      </c>
      <c r="E6" s="51">
        <v>3</v>
      </c>
      <c r="F6" s="51">
        <v>4</v>
      </c>
      <c r="G6" s="51" t="s">
        <v>398</v>
      </c>
      <c r="H6" s="51">
        <v>6</v>
      </c>
      <c r="I6" s="51">
        <v>7</v>
      </c>
      <c r="J6" s="51" t="s">
        <v>400</v>
      </c>
      <c r="K6" s="51" t="s">
        <v>401</v>
      </c>
      <c r="L6" s="51">
        <v>10</v>
      </c>
      <c r="M6" s="51">
        <v>11</v>
      </c>
      <c r="N6" s="51" t="s">
        <v>402</v>
      </c>
      <c r="O6" s="51">
        <v>13</v>
      </c>
      <c r="P6" s="51">
        <v>14</v>
      </c>
    </row>
    <row r="7" spans="1:16" s="153" customFormat="1" x14ac:dyDescent="0.25">
      <c r="A7" s="46" t="s">
        <v>226</v>
      </c>
      <c r="B7" s="46" t="s">
        <v>11</v>
      </c>
      <c r="C7" s="52">
        <f t="shared" ref="C7:J7" si="0">C8+C17</f>
        <v>1853668073</v>
      </c>
      <c r="D7" s="52">
        <f t="shared" si="0"/>
        <v>1514877484</v>
      </c>
      <c r="E7" s="58" t="s">
        <v>614</v>
      </c>
      <c r="F7" s="58" t="s">
        <v>614</v>
      </c>
      <c r="G7" s="52">
        <f t="shared" ref="G7" si="1">G8+G17</f>
        <v>338790589</v>
      </c>
      <c r="H7" s="58" t="s">
        <v>614</v>
      </c>
      <c r="I7" s="58" t="s">
        <v>614</v>
      </c>
      <c r="J7" s="52">
        <f t="shared" si="0"/>
        <v>199056421</v>
      </c>
      <c r="K7" s="52">
        <f t="shared" ref="K7" si="2">K8+K17</f>
        <v>199502570</v>
      </c>
      <c r="L7" s="58" t="s">
        <v>614</v>
      </c>
      <c r="M7" s="58" t="s">
        <v>614</v>
      </c>
      <c r="N7" s="52">
        <f t="shared" ref="N7" si="3">N8+N17</f>
        <v>-446149</v>
      </c>
      <c r="O7" s="58" t="s">
        <v>614</v>
      </c>
      <c r="P7" s="58" t="s">
        <v>614</v>
      </c>
    </row>
    <row r="8" spans="1:16" s="153" customFormat="1" x14ac:dyDescent="0.25">
      <c r="A8" s="46" t="s">
        <v>227</v>
      </c>
      <c r="B8" s="46" t="s">
        <v>2</v>
      </c>
      <c r="C8" s="52">
        <f>C9+C10+C11+C12+C13+C14+C15+C16+C297</f>
        <v>1853668073</v>
      </c>
      <c r="D8" s="52">
        <f t="shared" ref="D8:J8" si="4">D9+D10+D11+D12+D13+D14+D15+D16+D297</f>
        <v>1514877484</v>
      </c>
      <c r="E8" s="58" t="s">
        <v>614</v>
      </c>
      <c r="F8" s="58" t="s">
        <v>614</v>
      </c>
      <c r="G8" s="52">
        <f t="shared" ref="G8" si="5">G9+G10+G11+G12+G13+G14+G15+G16+G297</f>
        <v>338790589</v>
      </c>
      <c r="H8" s="58" t="s">
        <v>614</v>
      </c>
      <c r="I8" s="58" t="s">
        <v>614</v>
      </c>
      <c r="J8" s="52">
        <f t="shared" si="4"/>
        <v>199056421</v>
      </c>
      <c r="K8" s="52">
        <f t="shared" ref="K8" si="6">K9+K10+K11+K12+K13+K14+K15+K16+K297</f>
        <v>199502570</v>
      </c>
      <c r="L8" s="58" t="s">
        <v>614</v>
      </c>
      <c r="M8" s="58" t="s">
        <v>614</v>
      </c>
      <c r="N8" s="52">
        <f t="shared" ref="N8" si="7">N9+N10+N11+N12+N13+N14+N15+N16+N297</f>
        <v>-446149</v>
      </c>
      <c r="O8" s="58" t="s">
        <v>614</v>
      </c>
      <c r="P8" s="58" t="s">
        <v>614</v>
      </c>
    </row>
    <row r="9" spans="1:16" s="153" customFormat="1" x14ac:dyDescent="0.25">
      <c r="A9" s="46" t="s">
        <v>228</v>
      </c>
      <c r="B9" s="46" t="s">
        <v>12</v>
      </c>
      <c r="C9" s="52">
        <f t="shared" ref="C9" si="8">C24</f>
        <v>10760560</v>
      </c>
      <c r="D9" s="52">
        <f t="shared" ref="D9:J9" si="9">D24</f>
        <v>10760560</v>
      </c>
      <c r="E9" s="58" t="s">
        <v>614</v>
      </c>
      <c r="F9" s="58" t="s">
        <v>614</v>
      </c>
      <c r="G9" s="52">
        <f t="shared" ref="G9" si="10">G24</f>
        <v>0</v>
      </c>
      <c r="H9" s="58" t="s">
        <v>614</v>
      </c>
      <c r="I9" s="58" t="s">
        <v>614</v>
      </c>
      <c r="J9" s="52">
        <f t="shared" si="9"/>
        <v>895336</v>
      </c>
      <c r="K9" s="52">
        <f t="shared" ref="K9:N9" si="11">K24</f>
        <v>895336</v>
      </c>
      <c r="L9" s="58" t="s">
        <v>614</v>
      </c>
      <c r="M9" s="58" t="s">
        <v>614</v>
      </c>
      <c r="N9" s="52">
        <f t="shared" si="11"/>
        <v>0</v>
      </c>
      <c r="O9" s="58" t="s">
        <v>614</v>
      </c>
      <c r="P9" s="58" t="s">
        <v>614</v>
      </c>
    </row>
    <row r="10" spans="1:16" s="153" customFormat="1" x14ac:dyDescent="0.25">
      <c r="A10" s="46" t="s">
        <v>229</v>
      </c>
      <c r="B10" s="46" t="s">
        <v>3</v>
      </c>
      <c r="C10" s="52">
        <f t="shared" ref="C10" si="12">C44</f>
        <v>1287273118</v>
      </c>
      <c r="D10" s="52">
        <f t="shared" ref="D10:J10" si="13">D44</f>
        <v>1034349018</v>
      </c>
      <c r="E10" s="58" t="s">
        <v>614</v>
      </c>
      <c r="F10" s="58" t="s">
        <v>614</v>
      </c>
      <c r="G10" s="52">
        <f t="shared" ref="G10" si="14">G44</f>
        <v>252924100</v>
      </c>
      <c r="H10" s="58" t="s">
        <v>614</v>
      </c>
      <c r="I10" s="58" t="s">
        <v>614</v>
      </c>
      <c r="J10" s="52">
        <f t="shared" si="13"/>
        <v>128628199</v>
      </c>
      <c r="K10" s="52">
        <f t="shared" ref="K10:N10" si="15">K44</f>
        <v>128628199</v>
      </c>
      <c r="L10" s="58" t="s">
        <v>614</v>
      </c>
      <c r="M10" s="58" t="s">
        <v>614</v>
      </c>
      <c r="N10" s="52">
        <f t="shared" si="15"/>
        <v>0</v>
      </c>
      <c r="O10" s="58" t="s">
        <v>614</v>
      </c>
      <c r="P10" s="58" t="s">
        <v>614</v>
      </c>
    </row>
    <row r="11" spans="1:16" s="153" customFormat="1" x14ac:dyDescent="0.25">
      <c r="A11" s="46" t="s">
        <v>230</v>
      </c>
      <c r="B11" s="46" t="s">
        <v>4</v>
      </c>
      <c r="C11" s="52">
        <f t="shared" ref="C11" si="16">C73</f>
        <v>0</v>
      </c>
      <c r="D11" s="52">
        <f t="shared" ref="D11:J11" si="17">D73</f>
        <v>0</v>
      </c>
      <c r="E11" s="58" t="s">
        <v>614</v>
      </c>
      <c r="F11" s="58" t="s">
        <v>614</v>
      </c>
      <c r="G11" s="52">
        <f t="shared" ref="G11" si="18">G73</f>
        <v>0</v>
      </c>
      <c r="H11" s="58" t="s">
        <v>614</v>
      </c>
      <c r="I11" s="58" t="s">
        <v>614</v>
      </c>
      <c r="J11" s="52">
        <f t="shared" si="17"/>
        <v>0</v>
      </c>
      <c r="K11" s="52">
        <f t="shared" ref="K11:N11" si="19">K73</f>
        <v>0</v>
      </c>
      <c r="L11" s="58" t="s">
        <v>614</v>
      </c>
      <c r="M11" s="58" t="s">
        <v>614</v>
      </c>
      <c r="N11" s="52">
        <f t="shared" si="19"/>
        <v>0</v>
      </c>
      <c r="O11" s="58" t="s">
        <v>614</v>
      </c>
      <c r="P11" s="58" t="s">
        <v>614</v>
      </c>
    </row>
    <row r="12" spans="1:16" s="153" customFormat="1" ht="31.5" x14ac:dyDescent="0.25">
      <c r="A12" s="46" t="s">
        <v>348</v>
      </c>
      <c r="B12" s="46" t="s">
        <v>5</v>
      </c>
      <c r="C12" s="49">
        <f t="shared" ref="C12" si="20">C298</f>
        <v>428759789</v>
      </c>
      <c r="D12" s="49">
        <f t="shared" ref="D12:J12" si="21">D298</f>
        <v>428759789</v>
      </c>
      <c r="E12" s="58" t="s">
        <v>614</v>
      </c>
      <c r="F12" s="58" t="s">
        <v>614</v>
      </c>
      <c r="G12" s="49">
        <f t="shared" ref="G12" si="22">G298</f>
        <v>0</v>
      </c>
      <c r="H12" s="58" t="s">
        <v>614</v>
      </c>
      <c r="I12" s="58" t="s">
        <v>614</v>
      </c>
      <c r="J12" s="49">
        <f t="shared" si="21"/>
        <v>35482581</v>
      </c>
      <c r="K12" s="49">
        <f t="shared" ref="K12:N12" si="23">K298</f>
        <v>35482581</v>
      </c>
      <c r="L12" s="58" t="s">
        <v>614</v>
      </c>
      <c r="M12" s="58" t="s">
        <v>614</v>
      </c>
      <c r="N12" s="49">
        <f t="shared" si="23"/>
        <v>0</v>
      </c>
      <c r="O12" s="58" t="s">
        <v>614</v>
      </c>
      <c r="P12" s="58" t="s">
        <v>614</v>
      </c>
    </row>
    <row r="13" spans="1:16" s="153" customFormat="1" ht="31.5" x14ac:dyDescent="0.25">
      <c r="A13" s="46" t="s">
        <v>346</v>
      </c>
      <c r="B13" s="46" t="s">
        <v>6</v>
      </c>
      <c r="C13" s="49">
        <f t="shared" ref="C13" si="24">+C329</f>
        <v>0</v>
      </c>
      <c r="D13" s="49">
        <f t="shared" ref="D13:J13" si="25">+D329</f>
        <v>0</v>
      </c>
      <c r="E13" s="58" t="s">
        <v>614</v>
      </c>
      <c r="F13" s="58" t="s">
        <v>614</v>
      </c>
      <c r="G13" s="49">
        <f t="shared" ref="G13" si="26">+G329</f>
        <v>0</v>
      </c>
      <c r="H13" s="58" t="s">
        <v>614</v>
      </c>
      <c r="I13" s="58" t="s">
        <v>614</v>
      </c>
      <c r="J13" s="49">
        <f t="shared" si="25"/>
        <v>0</v>
      </c>
      <c r="K13" s="49">
        <f t="shared" ref="K13:N13" si="27">+K329</f>
        <v>0</v>
      </c>
      <c r="L13" s="58" t="s">
        <v>614</v>
      </c>
      <c r="M13" s="58" t="s">
        <v>614</v>
      </c>
      <c r="N13" s="49">
        <f t="shared" si="27"/>
        <v>0</v>
      </c>
      <c r="O13" s="58" t="s">
        <v>614</v>
      </c>
      <c r="P13" s="58" t="s">
        <v>614</v>
      </c>
    </row>
    <row r="14" spans="1:16" s="153" customFormat="1" x14ac:dyDescent="0.25">
      <c r="A14" s="46" t="s">
        <v>232</v>
      </c>
      <c r="B14" s="46" t="s">
        <v>7</v>
      </c>
      <c r="C14" s="52">
        <f t="shared" ref="C14" si="28">C318</f>
        <v>128605191</v>
      </c>
      <c r="D14" s="52">
        <f t="shared" ref="D14:J14" si="29">D318</f>
        <v>40893803</v>
      </c>
      <c r="E14" s="58" t="s">
        <v>614</v>
      </c>
      <c r="F14" s="58" t="s">
        <v>614</v>
      </c>
      <c r="G14" s="52">
        <f t="shared" ref="G14" si="30">G318</f>
        <v>87711388</v>
      </c>
      <c r="H14" s="58" t="s">
        <v>614</v>
      </c>
      <c r="I14" s="58" t="s">
        <v>614</v>
      </c>
      <c r="J14" s="52">
        <f t="shared" si="29"/>
        <v>34490242</v>
      </c>
      <c r="K14" s="52">
        <f t="shared" ref="K14:N14" si="31">K318</f>
        <v>34487058</v>
      </c>
      <c r="L14" s="58" t="s">
        <v>614</v>
      </c>
      <c r="M14" s="58" t="s">
        <v>614</v>
      </c>
      <c r="N14" s="52">
        <f t="shared" si="31"/>
        <v>3184</v>
      </c>
      <c r="O14" s="58" t="s">
        <v>614</v>
      </c>
      <c r="P14" s="58" t="s">
        <v>614</v>
      </c>
    </row>
    <row r="15" spans="1:16" s="153" customFormat="1" x14ac:dyDescent="0.25">
      <c r="A15" s="46" t="s">
        <v>233</v>
      </c>
      <c r="B15" s="46" t="s">
        <v>8</v>
      </c>
      <c r="C15" s="52">
        <f t="shared" ref="C15" si="32">C76</f>
        <v>114314</v>
      </c>
      <c r="D15" s="52">
        <f t="shared" ref="D15:J15" si="33">D76</f>
        <v>114314</v>
      </c>
      <c r="E15" s="58" t="s">
        <v>614</v>
      </c>
      <c r="F15" s="58" t="s">
        <v>614</v>
      </c>
      <c r="G15" s="52">
        <f t="shared" ref="G15" si="34">G76</f>
        <v>0</v>
      </c>
      <c r="H15" s="58" t="s">
        <v>614</v>
      </c>
      <c r="I15" s="58" t="s">
        <v>614</v>
      </c>
      <c r="J15" s="52">
        <f t="shared" si="33"/>
        <v>9396</v>
      </c>
      <c r="K15" s="52">
        <f t="shared" ref="K15:N15" si="35">K76</f>
        <v>9396</v>
      </c>
      <c r="L15" s="58" t="s">
        <v>614</v>
      </c>
      <c r="M15" s="58" t="s">
        <v>614</v>
      </c>
      <c r="N15" s="52">
        <f t="shared" si="35"/>
        <v>0</v>
      </c>
      <c r="O15" s="58" t="s">
        <v>614</v>
      </c>
      <c r="P15" s="58" t="s">
        <v>614</v>
      </c>
    </row>
    <row r="16" spans="1:16" s="153" customFormat="1" ht="47.25" x14ac:dyDescent="0.25">
      <c r="A16" s="46" t="s">
        <v>347</v>
      </c>
      <c r="B16" s="46" t="s">
        <v>9</v>
      </c>
      <c r="C16" s="52">
        <f t="shared" ref="C16" si="36">+C333</f>
        <v>0</v>
      </c>
      <c r="D16" s="52">
        <f t="shared" ref="D16:J16" si="37">+D333</f>
        <v>0</v>
      </c>
      <c r="E16" s="58" t="s">
        <v>614</v>
      </c>
      <c r="F16" s="58" t="s">
        <v>614</v>
      </c>
      <c r="G16" s="52">
        <f t="shared" ref="G16" si="38">+G333</f>
        <v>0</v>
      </c>
      <c r="H16" s="58" t="s">
        <v>614</v>
      </c>
      <c r="I16" s="58" t="s">
        <v>614</v>
      </c>
      <c r="J16" s="52">
        <f t="shared" si="37"/>
        <v>0</v>
      </c>
      <c r="K16" s="52">
        <f t="shared" ref="K16:N16" si="39">+K333</f>
        <v>0</v>
      </c>
      <c r="L16" s="58" t="s">
        <v>614</v>
      </c>
      <c r="M16" s="58" t="s">
        <v>614</v>
      </c>
      <c r="N16" s="52">
        <f t="shared" si="39"/>
        <v>0</v>
      </c>
      <c r="O16" s="58" t="s">
        <v>614</v>
      </c>
      <c r="P16" s="58" t="s">
        <v>614</v>
      </c>
    </row>
    <row r="17" spans="1:16" s="153" customFormat="1" x14ac:dyDescent="0.25">
      <c r="A17" s="46" t="s">
        <v>234</v>
      </c>
      <c r="B17" s="46" t="s">
        <v>10</v>
      </c>
      <c r="C17" s="52">
        <f t="shared" ref="C17" si="40">C79</f>
        <v>0</v>
      </c>
      <c r="D17" s="52">
        <f t="shared" ref="D17:J17" si="41">D79</f>
        <v>0</v>
      </c>
      <c r="E17" s="58" t="s">
        <v>614</v>
      </c>
      <c r="F17" s="58" t="s">
        <v>614</v>
      </c>
      <c r="G17" s="52">
        <f t="shared" ref="G17" si="42">G79</f>
        <v>0</v>
      </c>
      <c r="H17" s="58" t="s">
        <v>614</v>
      </c>
      <c r="I17" s="58" t="s">
        <v>614</v>
      </c>
      <c r="J17" s="52">
        <f t="shared" si="41"/>
        <v>0</v>
      </c>
      <c r="K17" s="52">
        <f t="shared" ref="K17:N17" si="43">K79</f>
        <v>0</v>
      </c>
      <c r="L17" s="58" t="s">
        <v>614</v>
      </c>
      <c r="M17" s="58" t="s">
        <v>614</v>
      </c>
      <c r="N17" s="52">
        <f t="shared" si="43"/>
        <v>0</v>
      </c>
      <c r="O17" s="58" t="s">
        <v>614</v>
      </c>
      <c r="P17" s="58" t="s">
        <v>614</v>
      </c>
    </row>
    <row r="18" spans="1:16" s="153" customFormat="1" x14ac:dyDescent="0.25">
      <c r="A18" s="46" t="s">
        <v>235</v>
      </c>
      <c r="B18" s="46" t="s">
        <v>219</v>
      </c>
      <c r="C18" s="52">
        <f t="shared" ref="C18" si="44">C80</f>
        <v>0</v>
      </c>
      <c r="D18" s="52">
        <f t="shared" ref="D18:J18" si="45">D80</f>
        <v>0</v>
      </c>
      <c r="E18" s="58" t="s">
        <v>614</v>
      </c>
      <c r="F18" s="58" t="s">
        <v>614</v>
      </c>
      <c r="G18" s="52">
        <f t="shared" ref="G18" si="46">G80</f>
        <v>0</v>
      </c>
      <c r="H18" s="58" t="s">
        <v>614</v>
      </c>
      <c r="I18" s="58" t="s">
        <v>614</v>
      </c>
      <c r="J18" s="52">
        <f t="shared" si="45"/>
        <v>0</v>
      </c>
      <c r="K18" s="52">
        <f t="shared" ref="K18:N18" si="47">K80</f>
        <v>0</v>
      </c>
      <c r="L18" s="58" t="s">
        <v>614</v>
      </c>
      <c r="M18" s="58" t="s">
        <v>614</v>
      </c>
      <c r="N18" s="52">
        <f t="shared" si="47"/>
        <v>0</v>
      </c>
      <c r="O18" s="58" t="s">
        <v>614</v>
      </c>
      <c r="P18" s="58" t="s">
        <v>614</v>
      </c>
    </row>
    <row r="19" spans="1:16" s="153" customFormat="1" ht="31.5" x14ac:dyDescent="0.25">
      <c r="A19" s="46" t="s">
        <v>236</v>
      </c>
      <c r="B19" s="46" t="s">
        <v>218</v>
      </c>
      <c r="C19" s="52">
        <f>+C328+C297</f>
        <v>-1844899</v>
      </c>
      <c r="D19" s="52">
        <f t="shared" ref="D19" si="48">+D328+D297</f>
        <v>0</v>
      </c>
      <c r="E19" s="58" t="s">
        <v>614</v>
      </c>
      <c r="F19" s="58" t="s">
        <v>614</v>
      </c>
      <c r="G19" s="52">
        <f t="shared" ref="G19" si="49">+G328+G297</f>
        <v>-1844899</v>
      </c>
      <c r="H19" s="58" t="s">
        <v>614</v>
      </c>
      <c r="I19" s="58" t="s">
        <v>614</v>
      </c>
      <c r="J19" s="52">
        <f>+J328+J297</f>
        <v>-449333</v>
      </c>
      <c r="K19" s="52">
        <f t="shared" ref="K19" si="50">+K328+K297</f>
        <v>0</v>
      </c>
      <c r="L19" s="58" t="s">
        <v>614</v>
      </c>
      <c r="M19" s="58" t="s">
        <v>614</v>
      </c>
      <c r="N19" s="52">
        <f t="shared" ref="N19" si="51">+N328+N297</f>
        <v>-449333</v>
      </c>
      <c r="O19" s="58" t="s">
        <v>614</v>
      </c>
      <c r="P19" s="58" t="s">
        <v>614</v>
      </c>
    </row>
    <row r="20" spans="1:16" s="153" customFormat="1" x14ac:dyDescent="0.25">
      <c r="A20" s="46" t="s">
        <v>237</v>
      </c>
      <c r="B20" s="46" t="s">
        <v>13</v>
      </c>
      <c r="C20" s="52">
        <f t="shared" ref="C20" si="52">C17+C21</f>
        <v>1853668073</v>
      </c>
      <c r="D20" s="52">
        <f t="shared" ref="D20:J20" si="53">D17+D21</f>
        <v>1514877484</v>
      </c>
      <c r="E20" s="58" t="s">
        <v>614</v>
      </c>
      <c r="F20" s="58" t="s">
        <v>614</v>
      </c>
      <c r="G20" s="52">
        <f t="shared" ref="G20" si="54">G17+G21</f>
        <v>338790589</v>
      </c>
      <c r="H20" s="58" t="s">
        <v>614</v>
      </c>
      <c r="I20" s="58" t="s">
        <v>614</v>
      </c>
      <c r="J20" s="52">
        <f t="shared" si="53"/>
        <v>199056421</v>
      </c>
      <c r="K20" s="52">
        <f t="shared" ref="K20" si="55">K17+K21</f>
        <v>199502570</v>
      </c>
      <c r="L20" s="58" t="s">
        <v>614</v>
      </c>
      <c r="M20" s="58" t="s">
        <v>614</v>
      </c>
      <c r="N20" s="52">
        <f t="shared" ref="N20" si="56">N17+N21</f>
        <v>-446149</v>
      </c>
      <c r="O20" s="58" t="s">
        <v>614</v>
      </c>
      <c r="P20" s="58" t="s">
        <v>614</v>
      </c>
    </row>
    <row r="21" spans="1:16" s="153" customFormat="1" ht="31.5" x14ac:dyDescent="0.25">
      <c r="A21" s="46" t="s">
        <v>238</v>
      </c>
      <c r="B21" s="46" t="s">
        <v>2</v>
      </c>
      <c r="C21" s="52">
        <f>C9+C10+C11+C12+C14+C15+C13+C16+C297</f>
        <v>1853668073</v>
      </c>
      <c r="D21" s="52">
        <f>D9+D10+D11+D12+D14+D15+D13+D16+D297</f>
        <v>1514877484</v>
      </c>
      <c r="E21" s="58" t="s">
        <v>614</v>
      </c>
      <c r="F21" s="58" t="s">
        <v>614</v>
      </c>
      <c r="G21" s="52">
        <f>G9+G10+G11+G12+G14+G15+G13+G16+G297</f>
        <v>338790589</v>
      </c>
      <c r="H21" s="58" t="s">
        <v>614</v>
      </c>
      <c r="I21" s="58" t="s">
        <v>614</v>
      </c>
      <c r="J21" s="52">
        <f t="shared" ref="J21:K21" si="57">J9+J10+J11+J12+J14+J15+J13+J16+J297</f>
        <v>199056421</v>
      </c>
      <c r="K21" s="52">
        <f t="shared" si="57"/>
        <v>199502570</v>
      </c>
      <c r="L21" s="58" t="s">
        <v>614</v>
      </c>
      <c r="M21" s="58" t="s">
        <v>614</v>
      </c>
      <c r="N21" s="52">
        <f>N9+N10+N11+N12+N14+N15+N13+N16+N297</f>
        <v>-446149</v>
      </c>
      <c r="O21" s="58" t="s">
        <v>614</v>
      </c>
      <c r="P21" s="58" t="s">
        <v>614</v>
      </c>
    </row>
    <row r="22" spans="1:16" s="153" customFormat="1" x14ac:dyDescent="0.25">
      <c r="A22" s="46" t="s">
        <v>239</v>
      </c>
      <c r="B22" s="46" t="s">
        <v>14</v>
      </c>
      <c r="C22" s="52">
        <f t="shared" ref="C22:K22" si="58">C17+C23+C297</f>
        <v>1725062882</v>
      </c>
      <c r="D22" s="52">
        <f t="shared" si="58"/>
        <v>1473983681</v>
      </c>
      <c r="E22" s="58" t="s">
        <v>614</v>
      </c>
      <c r="F22" s="58" t="s">
        <v>614</v>
      </c>
      <c r="G22" s="52">
        <f t="shared" si="58"/>
        <v>251079201</v>
      </c>
      <c r="H22" s="58" t="s">
        <v>614</v>
      </c>
      <c r="I22" s="58" t="s">
        <v>614</v>
      </c>
      <c r="J22" s="52">
        <f t="shared" si="58"/>
        <v>164566179</v>
      </c>
      <c r="K22" s="52">
        <f t="shared" si="58"/>
        <v>165015512</v>
      </c>
      <c r="L22" s="58" t="s">
        <v>614</v>
      </c>
      <c r="M22" s="58" t="s">
        <v>614</v>
      </c>
      <c r="N22" s="52">
        <f t="shared" ref="N22" si="59">N17+N23+N297</f>
        <v>-449333</v>
      </c>
      <c r="O22" s="58" t="s">
        <v>614</v>
      </c>
      <c r="P22" s="58" t="s">
        <v>614</v>
      </c>
    </row>
    <row r="23" spans="1:16" s="153" customFormat="1" x14ac:dyDescent="0.25">
      <c r="A23" s="46" t="s">
        <v>240</v>
      </c>
      <c r="B23" s="46" t="s">
        <v>2</v>
      </c>
      <c r="C23" s="52">
        <f>C24+C44+C73+C76+C298+C329+C333</f>
        <v>1726907781</v>
      </c>
      <c r="D23" s="52">
        <f t="shared" ref="D23:J23" si="60">D24+D44+D73+D76+D298+D329+D333</f>
        <v>1473983681</v>
      </c>
      <c r="E23" s="58" t="s">
        <v>614</v>
      </c>
      <c r="F23" s="58" t="s">
        <v>614</v>
      </c>
      <c r="G23" s="52">
        <f t="shared" ref="G23" si="61">G24+G44+G73+G76+G298+G329+G333</f>
        <v>252924100</v>
      </c>
      <c r="H23" s="58" t="s">
        <v>614</v>
      </c>
      <c r="I23" s="58" t="s">
        <v>614</v>
      </c>
      <c r="J23" s="52">
        <f t="shared" si="60"/>
        <v>165015512</v>
      </c>
      <c r="K23" s="52">
        <f t="shared" ref="K23" si="62">K24+K44+K73+K76+K298+K329+K333</f>
        <v>165015512</v>
      </c>
      <c r="L23" s="58" t="s">
        <v>614</v>
      </c>
      <c r="M23" s="58" t="s">
        <v>614</v>
      </c>
      <c r="N23" s="52">
        <f t="shared" ref="N23" si="63">N24+N44+N73+N76+N298+N329+N333</f>
        <v>0</v>
      </c>
      <c r="O23" s="58" t="s">
        <v>614</v>
      </c>
      <c r="P23" s="58" t="s">
        <v>614</v>
      </c>
    </row>
    <row r="24" spans="1:16" s="153" customFormat="1" x14ac:dyDescent="0.25">
      <c r="A24" s="46" t="s">
        <v>241</v>
      </c>
      <c r="B24" s="46" t="s">
        <v>12</v>
      </c>
      <c r="C24" s="53">
        <f t="shared" ref="C24" si="64">C25+C35+C37</f>
        <v>10760560</v>
      </c>
      <c r="D24" s="53">
        <f t="shared" ref="D24:J24" si="65">D25+D35+D37</f>
        <v>10760560</v>
      </c>
      <c r="E24" s="58" t="s">
        <v>614</v>
      </c>
      <c r="F24" s="58" t="s">
        <v>614</v>
      </c>
      <c r="G24" s="53">
        <f t="shared" ref="G24" si="66">G25+G35+G37</f>
        <v>0</v>
      </c>
      <c r="H24" s="58" t="s">
        <v>614</v>
      </c>
      <c r="I24" s="58" t="s">
        <v>614</v>
      </c>
      <c r="J24" s="53">
        <f t="shared" si="65"/>
        <v>895336</v>
      </c>
      <c r="K24" s="53">
        <f t="shared" ref="K24" si="67">K25+K35+K37</f>
        <v>895336</v>
      </c>
      <c r="L24" s="58" t="s">
        <v>614</v>
      </c>
      <c r="M24" s="58" t="s">
        <v>614</v>
      </c>
      <c r="N24" s="53">
        <f t="shared" ref="N24" si="68">N25+N35+N37</f>
        <v>0</v>
      </c>
      <c r="O24" s="58" t="s">
        <v>614</v>
      </c>
      <c r="P24" s="58" t="s">
        <v>614</v>
      </c>
    </row>
    <row r="25" spans="1:16" s="153" customFormat="1" ht="31.5" x14ac:dyDescent="0.25">
      <c r="A25" s="46" t="s">
        <v>242</v>
      </c>
      <c r="B25" s="46" t="s">
        <v>15</v>
      </c>
      <c r="C25" s="54">
        <f t="shared" ref="C25" si="69">C26+C27+C28+C29+C30+C31+C32+C33</f>
        <v>10491531</v>
      </c>
      <c r="D25" s="54">
        <f t="shared" ref="D25:J25" si="70">D26+D27+D28+D29+D30+D31+D32+D33</f>
        <v>10491531</v>
      </c>
      <c r="E25" s="58" t="s">
        <v>614</v>
      </c>
      <c r="F25" s="58" t="s">
        <v>614</v>
      </c>
      <c r="G25" s="54">
        <f t="shared" ref="G25" si="71">G26+G27+G28+G29+G30+G31+G32+G33</f>
        <v>0</v>
      </c>
      <c r="H25" s="58" t="s">
        <v>614</v>
      </c>
      <c r="I25" s="58" t="s">
        <v>614</v>
      </c>
      <c r="J25" s="54">
        <f t="shared" si="70"/>
        <v>841553</v>
      </c>
      <c r="K25" s="54">
        <f t="shared" ref="K25" si="72">K26+K27+K28+K29+K30+K31+K32+K33</f>
        <v>841553</v>
      </c>
      <c r="L25" s="58" t="s">
        <v>614</v>
      </c>
      <c r="M25" s="58" t="s">
        <v>614</v>
      </c>
      <c r="N25" s="54">
        <f t="shared" ref="N25" si="73">N26+N27+N28+N29+N30+N31+N32+N33</f>
        <v>0</v>
      </c>
      <c r="O25" s="58" t="s">
        <v>614</v>
      </c>
      <c r="P25" s="58" t="s">
        <v>614</v>
      </c>
    </row>
    <row r="26" spans="1:16" ht="31.5" x14ac:dyDescent="0.25">
      <c r="A26" s="45" t="s">
        <v>243</v>
      </c>
      <c r="B26" s="45" t="s">
        <v>16</v>
      </c>
      <c r="C26" s="55">
        <f>+D26+G26</f>
        <v>9618469</v>
      </c>
      <c r="D26" s="58">
        <v>9618469</v>
      </c>
      <c r="E26" s="58" t="s">
        <v>614</v>
      </c>
      <c r="F26" s="58" t="s">
        <v>614</v>
      </c>
      <c r="G26" s="58"/>
      <c r="H26" s="58" t="s">
        <v>614</v>
      </c>
      <c r="I26" s="58" t="s">
        <v>614</v>
      </c>
      <c r="J26" s="55">
        <f>+K26+N26</f>
        <v>785423</v>
      </c>
      <c r="K26" s="58">
        <v>785423</v>
      </c>
      <c r="L26" s="58" t="s">
        <v>614</v>
      </c>
      <c r="M26" s="58" t="s">
        <v>614</v>
      </c>
      <c r="N26" s="58"/>
      <c r="O26" s="58" t="s">
        <v>614</v>
      </c>
      <c r="P26" s="58" t="s">
        <v>614</v>
      </c>
    </row>
    <row r="27" spans="1:16" ht="31.5" x14ac:dyDescent="0.25">
      <c r="A27" s="45" t="s">
        <v>244</v>
      </c>
      <c r="B27" s="45" t="s">
        <v>17</v>
      </c>
      <c r="C27" s="55">
        <f t="shared" ref="C27:C34" si="74">+D27+G27</f>
        <v>462566</v>
      </c>
      <c r="D27" s="58">
        <v>462566</v>
      </c>
      <c r="E27" s="58" t="s">
        <v>614</v>
      </c>
      <c r="F27" s="58" t="s">
        <v>614</v>
      </c>
      <c r="G27" s="58"/>
      <c r="H27" s="58" t="s">
        <v>614</v>
      </c>
      <c r="I27" s="58" t="s">
        <v>614</v>
      </c>
      <c r="J27" s="55">
        <f t="shared" ref="J27:J34" si="75">+K27+N27</f>
        <v>15945</v>
      </c>
      <c r="K27" s="58">
        <v>15945</v>
      </c>
      <c r="L27" s="58" t="s">
        <v>614</v>
      </c>
      <c r="M27" s="58" t="s">
        <v>614</v>
      </c>
      <c r="N27" s="58"/>
      <c r="O27" s="58" t="s">
        <v>614</v>
      </c>
      <c r="P27" s="58" t="s">
        <v>614</v>
      </c>
    </row>
    <row r="28" spans="1:16" ht="31.5" x14ac:dyDescent="0.25">
      <c r="A28" s="45" t="s">
        <v>245</v>
      </c>
      <c r="B28" s="45" t="s">
        <v>18</v>
      </c>
      <c r="C28" s="55">
        <f t="shared" si="74"/>
        <v>0</v>
      </c>
      <c r="D28" s="58">
        <v>0</v>
      </c>
      <c r="E28" s="58" t="s">
        <v>614</v>
      </c>
      <c r="F28" s="58" t="s">
        <v>614</v>
      </c>
      <c r="G28" s="58"/>
      <c r="H28" s="58" t="s">
        <v>614</v>
      </c>
      <c r="I28" s="58" t="s">
        <v>614</v>
      </c>
      <c r="J28" s="55">
        <f t="shared" si="75"/>
        <v>0</v>
      </c>
      <c r="K28" s="58">
        <v>0</v>
      </c>
      <c r="L28" s="58" t="s">
        <v>614</v>
      </c>
      <c r="M28" s="58" t="s">
        <v>614</v>
      </c>
      <c r="N28" s="58"/>
      <c r="O28" s="58" t="s">
        <v>614</v>
      </c>
      <c r="P28" s="58" t="s">
        <v>614</v>
      </c>
    </row>
    <row r="29" spans="1:16" ht="31.5" x14ac:dyDescent="0.25">
      <c r="A29" s="45" t="s">
        <v>246</v>
      </c>
      <c r="B29" s="45" t="s">
        <v>19</v>
      </c>
      <c r="C29" s="55">
        <f t="shared" si="74"/>
        <v>210474</v>
      </c>
      <c r="D29" s="58">
        <v>210474</v>
      </c>
      <c r="E29" s="58" t="s">
        <v>614</v>
      </c>
      <c r="F29" s="58" t="s">
        <v>614</v>
      </c>
      <c r="G29" s="58"/>
      <c r="H29" s="58" t="s">
        <v>614</v>
      </c>
      <c r="I29" s="58" t="s">
        <v>614</v>
      </c>
      <c r="J29" s="55">
        <f t="shared" si="75"/>
        <v>19134</v>
      </c>
      <c r="K29" s="58">
        <v>19134</v>
      </c>
      <c r="L29" s="58" t="s">
        <v>614</v>
      </c>
      <c r="M29" s="58" t="s">
        <v>614</v>
      </c>
      <c r="N29" s="58"/>
      <c r="O29" s="58" t="s">
        <v>614</v>
      </c>
      <c r="P29" s="58" t="s">
        <v>614</v>
      </c>
    </row>
    <row r="30" spans="1:16" ht="31.5" x14ac:dyDescent="0.25">
      <c r="A30" s="45" t="s">
        <v>247</v>
      </c>
      <c r="B30" s="45" t="s">
        <v>20</v>
      </c>
      <c r="C30" s="55">
        <f t="shared" si="74"/>
        <v>1463</v>
      </c>
      <c r="D30" s="58">
        <v>1463</v>
      </c>
      <c r="E30" s="58" t="s">
        <v>614</v>
      </c>
      <c r="F30" s="58" t="s">
        <v>614</v>
      </c>
      <c r="G30" s="58"/>
      <c r="H30" s="58" t="s">
        <v>614</v>
      </c>
      <c r="I30" s="58" t="s">
        <v>614</v>
      </c>
      <c r="J30" s="55">
        <f t="shared" si="75"/>
        <v>0</v>
      </c>
      <c r="K30" s="58">
        <v>0</v>
      </c>
      <c r="L30" s="58" t="s">
        <v>614</v>
      </c>
      <c r="M30" s="58" t="s">
        <v>614</v>
      </c>
      <c r="N30" s="58"/>
      <c r="O30" s="58" t="s">
        <v>614</v>
      </c>
      <c r="P30" s="58" t="s">
        <v>614</v>
      </c>
    </row>
    <row r="31" spans="1:16" ht="31.5" x14ac:dyDescent="0.25">
      <c r="A31" s="45" t="s">
        <v>248</v>
      </c>
      <c r="B31" s="45" t="s">
        <v>21</v>
      </c>
      <c r="C31" s="55">
        <f t="shared" si="74"/>
        <v>0</v>
      </c>
      <c r="D31" s="58">
        <v>0</v>
      </c>
      <c r="E31" s="58" t="s">
        <v>614</v>
      </c>
      <c r="F31" s="58" t="s">
        <v>614</v>
      </c>
      <c r="G31" s="58"/>
      <c r="H31" s="58" t="s">
        <v>614</v>
      </c>
      <c r="I31" s="58" t="s">
        <v>614</v>
      </c>
      <c r="J31" s="55">
        <f t="shared" si="75"/>
        <v>0</v>
      </c>
      <c r="K31" s="58">
        <v>0</v>
      </c>
      <c r="L31" s="58" t="s">
        <v>614</v>
      </c>
      <c r="M31" s="58" t="s">
        <v>614</v>
      </c>
      <c r="N31" s="58"/>
      <c r="O31" s="58" t="s">
        <v>614</v>
      </c>
      <c r="P31" s="58" t="s">
        <v>614</v>
      </c>
    </row>
    <row r="32" spans="1:16" ht="31.5" x14ac:dyDescent="0.25">
      <c r="A32" s="45" t="s">
        <v>249</v>
      </c>
      <c r="B32" s="45" t="s">
        <v>22</v>
      </c>
      <c r="C32" s="55">
        <f t="shared" si="74"/>
        <v>46246</v>
      </c>
      <c r="D32" s="58">
        <v>46246</v>
      </c>
      <c r="E32" s="58" t="s">
        <v>614</v>
      </c>
      <c r="F32" s="58" t="s">
        <v>614</v>
      </c>
      <c r="G32" s="58"/>
      <c r="H32" s="58" t="s">
        <v>614</v>
      </c>
      <c r="I32" s="58" t="s">
        <v>614</v>
      </c>
      <c r="J32" s="55">
        <f t="shared" si="75"/>
        <v>4738</v>
      </c>
      <c r="K32" s="58">
        <v>4738</v>
      </c>
      <c r="L32" s="58" t="s">
        <v>614</v>
      </c>
      <c r="M32" s="58" t="s">
        <v>614</v>
      </c>
      <c r="N32" s="58"/>
      <c r="O32" s="58" t="s">
        <v>614</v>
      </c>
      <c r="P32" s="58" t="s">
        <v>614</v>
      </c>
    </row>
    <row r="33" spans="1:16" ht="31.5" x14ac:dyDescent="0.25">
      <c r="A33" s="45" t="s">
        <v>250</v>
      </c>
      <c r="B33" s="45" t="s">
        <v>23</v>
      </c>
      <c r="C33" s="55">
        <f t="shared" si="74"/>
        <v>152313</v>
      </c>
      <c r="D33" s="58">
        <v>152313</v>
      </c>
      <c r="E33" s="58" t="s">
        <v>614</v>
      </c>
      <c r="F33" s="58" t="s">
        <v>614</v>
      </c>
      <c r="G33" s="58"/>
      <c r="H33" s="58" t="s">
        <v>614</v>
      </c>
      <c r="I33" s="58" t="s">
        <v>614</v>
      </c>
      <c r="J33" s="55">
        <f t="shared" si="75"/>
        <v>16313</v>
      </c>
      <c r="K33" s="58">
        <v>16313</v>
      </c>
      <c r="L33" s="58" t="s">
        <v>614</v>
      </c>
      <c r="M33" s="58" t="s">
        <v>614</v>
      </c>
      <c r="N33" s="58"/>
      <c r="O33" s="58" t="s">
        <v>614</v>
      </c>
      <c r="P33" s="58" t="s">
        <v>614</v>
      </c>
    </row>
    <row r="34" spans="1:16" x14ac:dyDescent="0.25">
      <c r="A34" s="112"/>
      <c r="B34" s="112" t="s">
        <v>24</v>
      </c>
      <c r="C34" s="55">
        <f t="shared" si="74"/>
        <v>0</v>
      </c>
      <c r="D34" s="58">
        <v>0</v>
      </c>
      <c r="E34" s="58" t="s">
        <v>614</v>
      </c>
      <c r="F34" s="58" t="s">
        <v>614</v>
      </c>
      <c r="G34" s="58"/>
      <c r="H34" s="58" t="s">
        <v>614</v>
      </c>
      <c r="I34" s="58" t="s">
        <v>614</v>
      </c>
      <c r="J34" s="55">
        <f t="shared" si="75"/>
        <v>0</v>
      </c>
      <c r="K34" s="58">
        <v>0</v>
      </c>
      <c r="L34" s="58" t="s">
        <v>614</v>
      </c>
      <c r="M34" s="58" t="s">
        <v>614</v>
      </c>
      <c r="N34" s="58"/>
      <c r="O34" s="58" t="s">
        <v>614</v>
      </c>
      <c r="P34" s="58" t="s">
        <v>614</v>
      </c>
    </row>
    <row r="35" spans="1:16" s="153" customFormat="1" ht="31.5" x14ac:dyDescent="0.25">
      <c r="A35" s="46" t="s">
        <v>251</v>
      </c>
      <c r="B35" s="46" t="s">
        <v>25</v>
      </c>
      <c r="C35" s="54">
        <f t="shared" ref="C35:P35" si="76">C36</f>
        <v>35200</v>
      </c>
      <c r="D35" s="54">
        <f t="shared" si="76"/>
        <v>35200</v>
      </c>
      <c r="E35" s="62" t="str">
        <f t="shared" si="76"/>
        <v>x</v>
      </c>
      <c r="F35" s="62" t="str">
        <f t="shared" si="76"/>
        <v>x</v>
      </c>
      <c r="G35" s="54">
        <f t="shared" si="76"/>
        <v>0</v>
      </c>
      <c r="H35" s="62" t="str">
        <f t="shared" si="76"/>
        <v>x</v>
      </c>
      <c r="I35" s="62" t="str">
        <f t="shared" si="76"/>
        <v>x</v>
      </c>
      <c r="J35" s="54">
        <f t="shared" si="76"/>
        <v>35200</v>
      </c>
      <c r="K35" s="54">
        <f t="shared" si="76"/>
        <v>35200</v>
      </c>
      <c r="L35" s="62" t="str">
        <f t="shared" si="76"/>
        <v>x</v>
      </c>
      <c r="M35" s="62" t="str">
        <f t="shared" si="76"/>
        <v>x</v>
      </c>
      <c r="N35" s="54">
        <f t="shared" si="76"/>
        <v>0</v>
      </c>
      <c r="O35" s="62" t="str">
        <f t="shared" si="76"/>
        <v>x</v>
      </c>
      <c r="P35" s="62" t="str">
        <f t="shared" si="76"/>
        <v>x</v>
      </c>
    </row>
    <row r="36" spans="1:16" ht="29.25" customHeight="1" x14ac:dyDescent="0.25">
      <c r="A36" s="45" t="s">
        <v>252</v>
      </c>
      <c r="B36" s="45" t="s">
        <v>26</v>
      </c>
      <c r="C36" s="55">
        <f>+D36+G36</f>
        <v>35200</v>
      </c>
      <c r="D36" s="58">
        <v>35200</v>
      </c>
      <c r="E36" s="58" t="s">
        <v>614</v>
      </c>
      <c r="F36" s="58" t="s">
        <v>614</v>
      </c>
      <c r="G36" s="58"/>
      <c r="H36" s="58" t="s">
        <v>614</v>
      </c>
      <c r="I36" s="58" t="s">
        <v>614</v>
      </c>
      <c r="J36" s="55">
        <f>+K36+N36</f>
        <v>35200</v>
      </c>
      <c r="K36" s="58">
        <v>35200</v>
      </c>
      <c r="L36" s="58" t="s">
        <v>614</v>
      </c>
      <c r="M36" s="58" t="s">
        <v>614</v>
      </c>
      <c r="N36" s="58"/>
      <c r="O36" s="58" t="s">
        <v>614</v>
      </c>
      <c r="P36" s="58" t="s">
        <v>614</v>
      </c>
    </row>
    <row r="37" spans="1:16" s="153" customFormat="1" ht="31.5" x14ac:dyDescent="0.25">
      <c r="A37" s="46" t="s">
        <v>253</v>
      </c>
      <c r="B37" s="46" t="s">
        <v>27</v>
      </c>
      <c r="C37" s="53">
        <f t="shared" ref="C37" si="77">C38+C39+C40+C41+C42+C43</f>
        <v>233829</v>
      </c>
      <c r="D37" s="53">
        <f t="shared" ref="D37:J37" si="78">D38+D39+D40+D41+D42+D43</f>
        <v>233829</v>
      </c>
      <c r="E37" s="58" t="s">
        <v>614</v>
      </c>
      <c r="F37" s="58" t="s">
        <v>614</v>
      </c>
      <c r="G37" s="53">
        <f t="shared" ref="G37" si="79">G38+G39+G40+G41+G42+G43</f>
        <v>0</v>
      </c>
      <c r="H37" s="92" t="s">
        <v>614</v>
      </c>
      <c r="I37" s="92" t="s">
        <v>614</v>
      </c>
      <c r="J37" s="53">
        <f t="shared" si="78"/>
        <v>18583</v>
      </c>
      <c r="K37" s="53">
        <f t="shared" ref="K37" si="80">K38+K39+K40+K41+K42+K43</f>
        <v>18583</v>
      </c>
      <c r="L37" s="92" t="s">
        <v>614</v>
      </c>
      <c r="M37" s="92" t="s">
        <v>614</v>
      </c>
      <c r="N37" s="53">
        <f t="shared" ref="N37" si="81">N38+N39+N40+N41+N42+N43</f>
        <v>0</v>
      </c>
      <c r="O37" s="92" t="s">
        <v>614</v>
      </c>
      <c r="P37" s="92" t="s">
        <v>614</v>
      </c>
    </row>
    <row r="38" spans="1:16" ht="31.5" x14ac:dyDescent="0.25">
      <c r="A38" s="45" t="s">
        <v>254</v>
      </c>
      <c r="B38" s="45" t="s">
        <v>28</v>
      </c>
      <c r="C38" s="55">
        <f t="shared" ref="C38:C43" si="82">+D38+G38</f>
        <v>0</v>
      </c>
      <c r="D38" s="58">
        <v>0</v>
      </c>
      <c r="E38" s="58" t="s">
        <v>614</v>
      </c>
      <c r="F38" s="58" t="s">
        <v>614</v>
      </c>
      <c r="G38" s="58"/>
      <c r="H38" s="58" t="s">
        <v>614</v>
      </c>
      <c r="I38" s="58" t="s">
        <v>614</v>
      </c>
      <c r="J38" s="55">
        <f t="shared" ref="J38:J43" si="83">+K38+N38</f>
        <v>0</v>
      </c>
      <c r="K38" s="58">
        <v>0</v>
      </c>
      <c r="L38" s="58" t="s">
        <v>614</v>
      </c>
      <c r="M38" s="58" t="s">
        <v>614</v>
      </c>
      <c r="N38" s="58"/>
      <c r="O38" s="58" t="s">
        <v>614</v>
      </c>
      <c r="P38" s="58" t="s">
        <v>614</v>
      </c>
    </row>
    <row r="39" spans="1:16" ht="31.5" x14ac:dyDescent="0.25">
      <c r="A39" s="45" t="s">
        <v>255</v>
      </c>
      <c r="B39" s="45" t="s">
        <v>29</v>
      </c>
      <c r="C39" s="55">
        <f t="shared" si="82"/>
        <v>0</v>
      </c>
      <c r="D39" s="58">
        <v>0</v>
      </c>
      <c r="E39" s="58" t="s">
        <v>614</v>
      </c>
      <c r="F39" s="58" t="s">
        <v>614</v>
      </c>
      <c r="G39" s="58"/>
      <c r="H39" s="58" t="s">
        <v>614</v>
      </c>
      <c r="I39" s="58" t="s">
        <v>614</v>
      </c>
      <c r="J39" s="55">
        <f t="shared" si="83"/>
        <v>0</v>
      </c>
      <c r="K39" s="58">
        <v>0</v>
      </c>
      <c r="L39" s="58" t="s">
        <v>614</v>
      </c>
      <c r="M39" s="58" t="s">
        <v>614</v>
      </c>
      <c r="N39" s="58"/>
      <c r="O39" s="58" t="s">
        <v>614</v>
      </c>
      <c r="P39" s="58" t="s">
        <v>614</v>
      </c>
    </row>
    <row r="40" spans="1:16" ht="31.5" x14ac:dyDescent="0.25">
      <c r="A40" s="45" t="s">
        <v>256</v>
      </c>
      <c r="B40" s="45" t="s">
        <v>30</v>
      </c>
      <c r="C40" s="55">
        <f t="shared" si="82"/>
        <v>0</v>
      </c>
      <c r="D40" s="58">
        <v>0</v>
      </c>
      <c r="E40" s="58" t="s">
        <v>614</v>
      </c>
      <c r="F40" s="58" t="s">
        <v>614</v>
      </c>
      <c r="G40" s="58"/>
      <c r="H40" s="58" t="s">
        <v>614</v>
      </c>
      <c r="I40" s="58" t="s">
        <v>614</v>
      </c>
      <c r="J40" s="55">
        <f t="shared" si="83"/>
        <v>0</v>
      </c>
      <c r="K40" s="58">
        <v>0</v>
      </c>
      <c r="L40" s="58" t="s">
        <v>614</v>
      </c>
      <c r="M40" s="58" t="s">
        <v>614</v>
      </c>
      <c r="N40" s="58"/>
      <c r="O40" s="58" t="s">
        <v>614</v>
      </c>
      <c r="P40" s="58" t="s">
        <v>614</v>
      </c>
    </row>
    <row r="41" spans="1:16" ht="31.5" x14ac:dyDescent="0.25">
      <c r="A41" s="45" t="s">
        <v>257</v>
      </c>
      <c r="B41" s="45" t="s">
        <v>31</v>
      </c>
      <c r="C41" s="55">
        <f t="shared" si="82"/>
        <v>0</v>
      </c>
      <c r="D41" s="58">
        <v>0</v>
      </c>
      <c r="E41" s="58" t="s">
        <v>614</v>
      </c>
      <c r="F41" s="58" t="s">
        <v>614</v>
      </c>
      <c r="G41" s="58"/>
      <c r="H41" s="58" t="s">
        <v>614</v>
      </c>
      <c r="I41" s="58" t="s">
        <v>614</v>
      </c>
      <c r="J41" s="55">
        <f t="shared" si="83"/>
        <v>0</v>
      </c>
      <c r="K41" s="58">
        <v>0</v>
      </c>
      <c r="L41" s="58" t="s">
        <v>614</v>
      </c>
      <c r="M41" s="58" t="s">
        <v>614</v>
      </c>
      <c r="N41" s="58"/>
      <c r="O41" s="58" t="s">
        <v>614</v>
      </c>
      <c r="P41" s="58" t="s">
        <v>614</v>
      </c>
    </row>
    <row r="42" spans="1:16" ht="31.5" x14ac:dyDescent="0.25">
      <c r="A42" s="45" t="s">
        <v>258</v>
      </c>
      <c r="B42" s="45" t="s">
        <v>1</v>
      </c>
      <c r="C42" s="55">
        <f t="shared" si="82"/>
        <v>0</v>
      </c>
      <c r="D42" s="58">
        <v>0</v>
      </c>
      <c r="E42" s="58" t="s">
        <v>614</v>
      </c>
      <c r="F42" s="58" t="s">
        <v>614</v>
      </c>
      <c r="G42" s="58"/>
      <c r="H42" s="58" t="s">
        <v>614</v>
      </c>
      <c r="I42" s="58" t="s">
        <v>614</v>
      </c>
      <c r="J42" s="55">
        <f t="shared" si="83"/>
        <v>0</v>
      </c>
      <c r="K42" s="58">
        <v>0</v>
      </c>
      <c r="L42" s="58" t="s">
        <v>614</v>
      </c>
      <c r="M42" s="58" t="s">
        <v>614</v>
      </c>
      <c r="N42" s="58"/>
      <c r="O42" s="58" t="s">
        <v>614</v>
      </c>
      <c r="P42" s="58" t="s">
        <v>614</v>
      </c>
    </row>
    <row r="43" spans="1:16" ht="31.5" x14ac:dyDescent="0.25">
      <c r="A43" s="45" t="s">
        <v>259</v>
      </c>
      <c r="B43" s="45" t="s">
        <v>32</v>
      </c>
      <c r="C43" s="55">
        <f t="shared" si="82"/>
        <v>233829</v>
      </c>
      <c r="D43" s="58">
        <v>233829</v>
      </c>
      <c r="E43" s="58" t="s">
        <v>614</v>
      </c>
      <c r="F43" s="58" t="s">
        <v>614</v>
      </c>
      <c r="G43" s="58"/>
      <c r="H43" s="58" t="s">
        <v>614</v>
      </c>
      <c r="I43" s="58" t="s">
        <v>614</v>
      </c>
      <c r="J43" s="55">
        <f t="shared" si="83"/>
        <v>18583</v>
      </c>
      <c r="K43" s="58">
        <v>18583</v>
      </c>
      <c r="L43" s="58" t="s">
        <v>614</v>
      </c>
      <c r="M43" s="58" t="s">
        <v>614</v>
      </c>
      <c r="N43" s="58"/>
      <c r="O43" s="58" t="s">
        <v>614</v>
      </c>
      <c r="P43" s="58" t="s">
        <v>614</v>
      </c>
    </row>
    <row r="44" spans="1:16" s="153" customFormat="1" x14ac:dyDescent="0.25">
      <c r="A44" s="46" t="s">
        <v>260</v>
      </c>
      <c r="B44" s="46" t="s">
        <v>3</v>
      </c>
      <c r="C44" s="54">
        <f t="shared" ref="C44" si="84">C45+C60+C59+C62+C65+C66+C67+C68+C69+C70</f>
        <v>1287273118</v>
      </c>
      <c r="D44" s="54">
        <f t="shared" ref="D44:J44" si="85">D45+D60+D59+D62+D65+D66+D67+D68+D69+D70</f>
        <v>1034349018</v>
      </c>
      <c r="E44" s="58" t="s">
        <v>614</v>
      </c>
      <c r="F44" s="58" t="s">
        <v>614</v>
      </c>
      <c r="G44" s="54">
        <f t="shared" ref="G44" si="86">G45+G60+G59+G62+G65+G66+G67+G68+G69+G70</f>
        <v>252924100</v>
      </c>
      <c r="H44" s="93" t="s">
        <v>614</v>
      </c>
      <c r="I44" s="93" t="s">
        <v>614</v>
      </c>
      <c r="J44" s="54">
        <f t="shared" si="85"/>
        <v>128628199</v>
      </c>
      <c r="K44" s="54">
        <f t="shared" ref="K44" si="87">K45+K60+K59+K62+K65+K66+K67+K68+K69+K70</f>
        <v>128628199</v>
      </c>
      <c r="L44" s="93" t="s">
        <v>614</v>
      </c>
      <c r="M44" s="93" t="s">
        <v>614</v>
      </c>
      <c r="N44" s="54">
        <f t="shared" ref="N44" si="88">N45+N60+N59+N62+N65+N66+N67+N68+N69+N70</f>
        <v>0</v>
      </c>
      <c r="O44" s="93" t="s">
        <v>614</v>
      </c>
      <c r="P44" s="93" t="s">
        <v>614</v>
      </c>
    </row>
    <row r="45" spans="1:16" s="153" customFormat="1" ht="31.5" x14ac:dyDescent="0.25">
      <c r="A45" s="46" t="s">
        <v>261</v>
      </c>
      <c r="B45" s="46" t="s">
        <v>33</v>
      </c>
      <c r="C45" s="52">
        <f t="shared" ref="C45" si="89">C46+C47+C48+C49+C50+C51+C52+C53+C55</f>
        <v>1287222863</v>
      </c>
      <c r="D45" s="52">
        <f t="shared" ref="D45:J45" si="90">D46+D47+D48+D49+D50+D51+D52+D53+D55</f>
        <v>1034298763</v>
      </c>
      <c r="E45" s="58" t="s">
        <v>614</v>
      </c>
      <c r="F45" s="58" t="s">
        <v>614</v>
      </c>
      <c r="G45" s="52">
        <f t="shared" ref="G45" si="91">G46+G47+G48+G49+G50+G51+G52+G53+G55</f>
        <v>252924100</v>
      </c>
      <c r="H45" s="94" t="s">
        <v>614</v>
      </c>
      <c r="I45" s="94" t="s">
        <v>614</v>
      </c>
      <c r="J45" s="52">
        <f t="shared" si="90"/>
        <v>128624486</v>
      </c>
      <c r="K45" s="52">
        <f t="shared" ref="K45" si="92">K46+K47+K48+K49+K50+K51+K52+K53+K55</f>
        <v>128624486</v>
      </c>
      <c r="L45" s="94" t="s">
        <v>614</v>
      </c>
      <c r="M45" s="94" t="s">
        <v>614</v>
      </c>
      <c r="N45" s="52">
        <f t="shared" ref="N45" si="93">N46+N47+N48+N49+N50+N51+N52+N53+N55</f>
        <v>0</v>
      </c>
      <c r="O45" s="94" t="s">
        <v>614</v>
      </c>
      <c r="P45" s="94" t="s">
        <v>614</v>
      </c>
    </row>
    <row r="46" spans="1:16" ht="31.5" x14ac:dyDescent="0.25">
      <c r="A46" s="45" t="s">
        <v>262</v>
      </c>
      <c r="B46" s="45" t="s">
        <v>34</v>
      </c>
      <c r="C46" s="55">
        <f t="shared" ref="C46:C52" si="94">+D46+G46</f>
        <v>52093</v>
      </c>
      <c r="D46" s="58">
        <v>52093</v>
      </c>
      <c r="E46" s="58" t="s">
        <v>614</v>
      </c>
      <c r="F46" s="58" t="s">
        <v>614</v>
      </c>
      <c r="G46" s="58">
        <v>0</v>
      </c>
      <c r="H46" s="58" t="s">
        <v>614</v>
      </c>
      <c r="I46" s="58" t="s">
        <v>614</v>
      </c>
      <c r="J46" s="55">
        <f t="shared" ref="J46:J52" si="95">+K46+N46</f>
        <v>0</v>
      </c>
      <c r="K46" s="58">
        <v>0</v>
      </c>
      <c r="L46" s="58" t="s">
        <v>614</v>
      </c>
      <c r="M46" s="58" t="s">
        <v>614</v>
      </c>
      <c r="N46" s="58"/>
      <c r="O46" s="58" t="s">
        <v>614</v>
      </c>
      <c r="P46" s="58" t="s">
        <v>614</v>
      </c>
    </row>
    <row r="47" spans="1:16" ht="31.5" x14ac:dyDescent="0.25">
      <c r="A47" s="45" t="s">
        <v>263</v>
      </c>
      <c r="B47" s="45" t="s">
        <v>35</v>
      </c>
      <c r="C47" s="55">
        <f t="shared" si="94"/>
        <v>11823</v>
      </c>
      <c r="D47" s="58">
        <v>11823</v>
      </c>
      <c r="E47" s="58" t="s">
        <v>614</v>
      </c>
      <c r="F47" s="58" t="s">
        <v>614</v>
      </c>
      <c r="G47" s="58">
        <v>0</v>
      </c>
      <c r="H47" s="58" t="s">
        <v>614</v>
      </c>
      <c r="I47" s="58" t="s">
        <v>614</v>
      </c>
      <c r="J47" s="55">
        <f t="shared" si="95"/>
        <v>975</v>
      </c>
      <c r="K47" s="58">
        <v>975</v>
      </c>
      <c r="L47" s="58" t="s">
        <v>614</v>
      </c>
      <c r="M47" s="58" t="s">
        <v>614</v>
      </c>
      <c r="N47" s="58"/>
      <c r="O47" s="58" t="s">
        <v>614</v>
      </c>
      <c r="P47" s="58" t="s">
        <v>614</v>
      </c>
    </row>
    <row r="48" spans="1:16" ht="31.5" x14ac:dyDescent="0.25">
      <c r="A48" s="45" t="s">
        <v>264</v>
      </c>
      <c r="B48" s="45" t="s">
        <v>36</v>
      </c>
      <c r="C48" s="55">
        <f t="shared" si="94"/>
        <v>128320</v>
      </c>
      <c r="D48" s="58">
        <f>128320-G48</f>
        <v>115274</v>
      </c>
      <c r="E48" s="58" t="s">
        <v>614</v>
      </c>
      <c r="F48" s="58" t="s">
        <v>614</v>
      </c>
      <c r="G48" s="58">
        <v>13046</v>
      </c>
      <c r="H48" s="58" t="s">
        <v>614</v>
      </c>
      <c r="I48" s="58" t="s">
        <v>614</v>
      </c>
      <c r="J48" s="55">
        <f t="shared" si="95"/>
        <v>16368</v>
      </c>
      <c r="K48" s="58">
        <v>16368</v>
      </c>
      <c r="L48" s="58" t="s">
        <v>614</v>
      </c>
      <c r="M48" s="58" t="s">
        <v>614</v>
      </c>
      <c r="N48" s="58"/>
      <c r="O48" s="58" t="s">
        <v>614</v>
      </c>
      <c r="P48" s="58" t="s">
        <v>614</v>
      </c>
    </row>
    <row r="49" spans="1:16" ht="31.5" x14ac:dyDescent="0.25">
      <c r="A49" s="45" t="s">
        <v>265</v>
      </c>
      <c r="B49" s="45" t="s">
        <v>37</v>
      </c>
      <c r="C49" s="55">
        <f t="shared" si="94"/>
        <v>13888</v>
      </c>
      <c r="D49" s="58">
        <f>13888-G49</f>
        <v>13268</v>
      </c>
      <c r="E49" s="58" t="s">
        <v>614</v>
      </c>
      <c r="F49" s="58" t="s">
        <v>614</v>
      </c>
      <c r="G49" s="58">
        <v>620</v>
      </c>
      <c r="H49" s="58" t="s">
        <v>614</v>
      </c>
      <c r="I49" s="58" t="s">
        <v>614</v>
      </c>
      <c r="J49" s="55">
        <f t="shared" si="95"/>
        <v>963</v>
      </c>
      <c r="K49" s="58">
        <v>963</v>
      </c>
      <c r="L49" s="58" t="s">
        <v>614</v>
      </c>
      <c r="M49" s="58" t="s">
        <v>614</v>
      </c>
      <c r="N49" s="58"/>
      <c r="O49" s="58" t="s">
        <v>614</v>
      </c>
      <c r="P49" s="58" t="s">
        <v>614</v>
      </c>
    </row>
    <row r="50" spans="1:16" ht="31.5" x14ac:dyDescent="0.25">
      <c r="A50" s="45" t="s">
        <v>266</v>
      </c>
      <c r="B50" s="45" t="s">
        <v>38</v>
      </c>
      <c r="C50" s="55">
        <f t="shared" si="94"/>
        <v>0</v>
      </c>
      <c r="D50" s="58">
        <v>0</v>
      </c>
      <c r="E50" s="58" t="s">
        <v>614</v>
      </c>
      <c r="F50" s="58" t="s">
        <v>614</v>
      </c>
      <c r="G50" s="58">
        <v>0</v>
      </c>
      <c r="H50" s="58" t="s">
        <v>614</v>
      </c>
      <c r="I50" s="58" t="s">
        <v>614</v>
      </c>
      <c r="J50" s="55">
        <f t="shared" si="95"/>
        <v>0</v>
      </c>
      <c r="K50" s="58">
        <v>0</v>
      </c>
      <c r="L50" s="58" t="s">
        <v>614</v>
      </c>
      <c r="M50" s="58" t="s">
        <v>614</v>
      </c>
      <c r="N50" s="58"/>
      <c r="O50" s="58" t="s">
        <v>614</v>
      </c>
      <c r="P50" s="58" t="s">
        <v>614</v>
      </c>
    </row>
    <row r="51" spans="1:16" ht="31.5" x14ac:dyDescent="0.25">
      <c r="A51" s="45" t="s">
        <v>267</v>
      </c>
      <c r="B51" s="45" t="s">
        <v>39</v>
      </c>
      <c r="C51" s="55">
        <f t="shared" si="94"/>
        <v>5934</v>
      </c>
      <c r="D51" s="58">
        <v>5934</v>
      </c>
      <c r="E51" s="58" t="s">
        <v>614</v>
      </c>
      <c r="F51" s="58" t="s">
        <v>614</v>
      </c>
      <c r="G51" s="58">
        <v>0</v>
      </c>
      <c r="H51" s="58" t="s">
        <v>614</v>
      </c>
      <c r="I51" s="58" t="s">
        <v>614</v>
      </c>
      <c r="J51" s="55">
        <f t="shared" si="95"/>
        <v>401</v>
      </c>
      <c r="K51" s="58">
        <v>401</v>
      </c>
      <c r="L51" s="58" t="s">
        <v>614</v>
      </c>
      <c r="M51" s="58" t="s">
        <v>614</v>
      </c>
      <c r="N51" s="58"/>
      <c r="O51" s="58" t="s">
        <v>614</v>
      </c>
      <c r="P51" s="58" t="s">
        <v>614</v>
      </c>
    </row>
    <row r="52" spans="1:16" ht="31.5" x14ac:dyDescent="0.25">
      <c r="A52" s="45" t="s">
        <v>268</v>
      </c>
      <c r="B52" s="45" t="s">
        <v>40</v>
      </c>
      <c r="C52" s="55">
        <f t="shared" si="94"/>
        <v>56670</v>
      </c>
      <c r="D52" s="58">
        <f>56670-G52</f>
        <v>55171</v>
      </c>
      <c r="E52" s="58" t="s">
        <v>614</v>
      </c>
      <c r="F52" s="58" t="s">
        <v>614</v>
      </c>
      <c r="G52" s="58">
        <v>1499</v>
      </c>
      <c r="H52" s="58" t="s">
        <v>614</v>
      </c>
      <c r="I52" s="58" t="s">
        <v>614</v>
      </c>
      <c r="J52" s="55">
        <f t="shared" si="95"/>
        <v>5858</v>
      </c>
      <c r="K52" s="58">
        <v>5858</v>
      </c>
      <c r="L52" s="58" t="s">
        <v>614</v>
      </c>
      <c r="M52" s="58" t="s">
        <v>614</v>
      </c>
      <c r="N52" s="58"/>
      <c r="O52" s="58" t="s">
        <v>614</v>
      </c>
      <c r="P52" s="58" t="s">
        <v>614</v>
      </c>
    </row>
    <row r="53" spans="1:16" s="153" customFormat="1" ht="31.5" x14ac:dyDescent="0.25">
      <c r="A53" s="46" t="s">
        <v>269</v>
      </c>
      <c r="B53" s="46" t="s">
        <v>41</v>
      </c>
      <c r="C53" s="52">
        <f t="shared" ref="C53" si="96">C54+C90</f>
        <v>1286260011</v>
      </c>
      <c r="D53" s="52">
        <f t="shared" ref="D53:K53" si="97">D54+D90</f>
        <v>1033385175</v>
      </c>
      <c r="E53" s="58" t="s">
        <v>614</v>
      </c>
      <c r="F53" s="58" t="s">
        <v>614</v>
      </c>
      <c r="G53" s="52">
        <f t="shared" ref="G53" si="98">G54+G90</f>
        <v>252874836</v>
      </c>
      <c r="H53" s="94" t="s">
        <v>614</v>
      </c>
      <c r="I53" s="94" t="s">
        <v>614</v>
      </c>
      <c r="J53" s="52">
        <f t="shared" si="97"/>
        <v>128552700</v>
      </c>
      <c r="K53" s="52">
        <f t="shared" si="97"/>
        <v>128552700</v>
      </c>
      <c r="L53" s="94" t="s">
        <v>614</v>
      </c>
      <c r="M53" s="94" t="s">
        <v>614</v>
      </c>
      <c r="N53" s="52">
        <f t="shared" ref="N53" si="99">N54+N90</f>
        <v>0</v>
      </c>
      <c r="O53" s="94" t="s">
        <v>614</v>
      </c>
      <c r="P53" s="94" t="s">
        <v>614</v>
      </c>
    </row>
    <row r="54" spans="1:16" s="154" customFormat="1" ht="31.5" x14ac:dyDescent="0.25">
      <c r="A54" s="113" t="s">
        <v>270</v>
      </c>
      <c r="B54" s="113" t="s">
        <v>42</v>
      </c>
      <c r="C54" s="55">
        <f>+D54+G54</f>
        <v>14383</v>
      </c>
      <c r="D54" s="58">
        <v>14383</v>
      </c>
      <c r="E54" s="58" t="s">
        <v>614</v>
      </c>
      <c r="F54" s="58" t="s">
        <v>614</v>
      </c>
      <c r="G54" s="58">
        <v>0</v>
      </c>
      <c r="H54" s="58" t="s">
        <v>614</v>
      </c>
      <c r="I54" s="58" t="s">
        <v>614</v>
      </c>
      <c r="J54" s="55">
        <f>+K54+N54</f>
        <v>571</v>
      </c>
      <c r="K54" s="58">
        <v>571</v>
      </c>
      <c r="L54" s="58" t="s">
        <v>614</v>
      </c>
      <c r="M54" s="58" t="s">
        <v>614</v>
      </c>
      <c r="N54" s="58"/>
      <c r="O54" s="58" t="s">
        <v>614</v>
      </c>
      <c r="P54" s="58" t="s">
        <v>614</v>
      </c>
    </row>
    <row r="55" spans="1:16" ht="31.5" x14ac:dyDescent="0.25">
      <c r="A55" s="45" t="s">
        <v>271</v>
      </c>
      <c r="B55" s="45" t="s">
        <v>43</v>
      </c>
      <c r="C55" s="56">
        <f t="shared" ref="C55" si="100">C56+C57+C58</f>
        <v>694124</v>
      </c>
      <c r="D55" s="56">
        <f t="shared" ref="D55:J55" si="101">D56+D57+D58</f>
        <v>660025</v>
      </c>
      <c r="E55" s="58" t="s">
        <v>614</v>
      </c>
      <c r="F55" s="58" t="s">
        <v>614</v>
      </c>
      <c r="G55" s="56">
        <f t="shared" ref="G55" si="102">G56+G57+G58</f>
        <v>34099</v>
      </c>
      <c r="H55" s="95" t="s">
        <v>614</v>
      </c>
      <c r="I55" s="95" t="s">
        <v>614</v>
      </c>
      <c r="J55" s="56">
        <f t="shared" si="101"/>
        <v>47221</v>
      </c>
      <c r="K55" s="56">
        <f t="shared" ref="K55" si="103">K56+K57+K58</f>
        <v>47221</v>
      </c>
      <c r="L55" s="95" t="s">
        <v>614</v>
      </c>
      <c r="M55" s="95" t="s">
        <v>614</v>
      </c>
      <c r="N55" s="56">
        <f t="shared" ref="N55" si="104">N56+N57+N58</f>
        <v>0</v>
      </c>
      <c r="O55" s="95" t="s">
        <v>614</v>
      </c>
      <c r="P55" s="95" t="s">
        <v>614</v>
      </c>
    </row>
    <row r="56" spans="1:16" x14ac:dyDescent="0.25">
      <c r="A56" s="45"/>
      <c r="B56" s="45" t="s">
        <v>44</v>
      </c>
      <c r="C56" s="55">
        <f t="shared" ref="C56:C59" si="105">+D56+G56</f>
        <v>531441</v>
      </c>
      <c r="D56" s="170">
        <f>531441-G56</f>
        <v>499313</v>
      </c>
      <c r="E56" s="58" t="s">
        <v>614</v>
      </c>
      <c r="F56" s="58" t="s">
        <v>614</v>
      </c>
      <c r="G56" s="58">
        <v>32128</v>
      </c>
      <c r="H56" s="58" t="s">
        <v>614</v>
      </c>
      <c r="I56" s="58" t="s">
        <v>614</v>
      </c>
      <c r="J56" s="55">
        <f t="shared" ref="J56:J59" si="106">+K56+N56</f>
        <v>41574</v>
      </c>
      <c r="K56" s="58">
        <v>41574</v>
      </c>
      <c r="L56" s="58" t="s">
        <v>614</v>
      </c>
      <c r="M56" s="58" t="s">
        <v>614</v>
      </c>
      <c r="N56" s="58"/>
      <c r="O56" s="58" t="s">
        <v>614</v>
      </c>
      <c r="P56" s="58" t="s">
        <v>614</v>
      </c>
    </row>
    <row r="57" spans="1:16" ht="31.5" x14ac:dyDescent="0.25">
      <c r="A57" s="112"/>
      <c r="B57" s="112" t="s">
        <v>45</v>
      </c>
      <c r="C57" s="55">
        <f t="shared" si="105"/>
        <v>99248</v>
      </c>
      <c r="D57" s="58">
        <v>99248</v>
      </c>
      <c r="E57" s="58" t="s">
        <v>614</v>
      </c>
      <c r="F57" s="58" t="s">
        <v>614</v>
      </c>
      <c r="G57" s="58">
        <v>0</v>
      </c>
      <c r="H57" s="58" t="s">
        <v>614</v>
      </c>
      <c r="I57" s="58" t="s">
        <v>614</v>
      </c>
      <c r="J57" s="55">
        <f t="shared" si="106"/>
        <v>0</v>
      </c>
      <c r="K57" s="58">
        <v>0</v>
      </c>
      <c r="L57" s="58" t="s">
        <v>614</v>
      </c>
      <c r="M57" s="58" t="s">
        <v>614</v>
      </c>
      <c r="N57" s="58"/>
      <c r="O57" s="58" t="s">
        <v>614</v>
      </c>
      <c r="P57" s="58" t="s">
        <v>614</v>
      </c>
    </row>
    <row r="58" spans="1:16" ht="31.5" x14ac:dyDescent="0.25">
      <c r="A58" s="112"/>
      <c r="B58" s="112" t="s">
        <v>46</v>
      </c>
      <c r="C58" s="55">
        <f t="shared" si="105"/>
        <v>63435</v>
      </c>
      <c r="D58" s="58">
        <f>63435-G58</f>
        <v>61464</v>
      </c>
      <c r="E58" s="58" t="s">
        <v>614</v>
      </c>
      <c r="F58" s="58" t="s">
        <v>614</v>
      </c>
      <c r="G58" s="58">
        <v>1971</v>
      </c>
      <c r="H58" s="58" t="s">
        <v>614</v>
      </c>
      <c r="I58" s="58" t="s">
        <v>614</v>
      </c>
      <c r="J58" s="55">
        <f t="shared" si="106"/>
        <v>5647</v>
      </c>
      <c r="K58" s="58">
        <v>5647</v>
      </c>
      <c r="L58" s="58" t="s">
        <v>614</v>
      </c>
      <c r="M58" s="58" t="s">
        <v>614</v>
      </c>
      <c r="N58" s="58"/>
      <c r="O58" s="58" t="s">
        <v>614</v>
      </c>
      <c r="P58" s="58" t="s">
        <v>614</v>
      </c>
    </row>
    <row r="59" spans="1:16" ht="31.5" x14ac:dyDescent="0.25">
      <c r="A59" s="45" t="s">
        <v>272</v>
      </c>
      <c r="B59" s="45" t="s">
        <v>47</v>
      </c>
      <c r="C59" s="55">
        <f t="shared" si="105"/>
        <v>6047</v>
      </c>
      <c r="D59" s="58">
        <v>6047</v>
      </c>
      <c r="E59" s="58" t="s">
        <v>614</v>
      </c>
      <c r="F59" s="58" t="s">
        <v>614</v>
      </c>
      <c r="G59" s="58">
        <v>0</v>
      </c>
      <c r="H59" s="58" t="s">
        <v>614</v>
      </c>
      <c r="I59" s="58" t="s">
        <v>614</v>
      </c>
      <c r="J59" s="55">
        <f t="shared" si="106"/>
        <v>0</v>
      </c>
      <c r="K59" s="58">
        <v>0</v>
      </c>
      <c r="L59" s="58" t="s">
        <v>614</v>
      </c>
      <c r="M59" s="58" t="s">
        <v>614</v>
      </c>
      <c r="N59" s="58"/>
      <c r="O59" s="58" t="s">
        <v>614</v>
      </c>
      <c r="P59" s="58" t="s">
        <v>614</v>
      </c>
    </row>
    <row r="60" spans="1:16" s="153" customFormat="1" ht="31.5" x14ac:dyDescent="0.25">
      <c r="A60" s="46" t="s">
        <v>273</v>
      </c>
      <c r="B60" s="46" t="s">
        <v>48</v>
      </c>
      <c r="C60" s="57">
        <f t="shared" ref="C60:P60" si="107">C61</f>
        <v>0</v>
      </c>
      <c r="D60" s="57">
        <f t="shared" si="107"/>
        <v>0</v>
      </c>
      <c r="E60" s="56" t="str">
        <f t="shared" si="107"/>
        <v>x</v>
      </c>
      <c r="F60" s="56" t="str">
        <f t="shared" si="107"/>
        <v>x</v>
      </c>
      <c r="G60" s="57">
        <f t="shared" si="107"/>
        <v>0</v>
      </c>
      <c r="H60" s="56" t="str">
        <f t="shared" si="107"/>
        <v>x</v>
      </c>
      <c r="I60" s="56" t="str">
        <f t="shared" si="107"/>
        <v>x</v>
      </c>
      <c r="J60" s="57">
        <f t="shared" si="107"/>
        <v>0</v>
      </c>
      <c r="K60" s="57">
        <f t="shared" si="107"/>
        <v>0</v>
      </c>
      <c r="L60" s="56" t="str">
        <f t="shared" si="107"/>
        <v>x</v>
      </c>
      <c r="M60" s="56" t="str">
        <f t="shared" si="107"/>
        <v>x</v>
      </c>
      <c r="N60" s="57">
        <f t="shared" si="107"/>
        <v>0</v>
      </c>
      <c r="O60" s="56" t="str">
        <f t="shared" si="107"/>
        <v>x</v>
      </c>
      <c r="P60" s="56" t="str">
        <f t="shared" si="107"/>
        <v>x</v>
      </c>
    </row>
    <row r="61" spans="1:16" ht="31.5" x14ac:dyDescent="0.25">
      <c r="A61" s="45" t="s">
        <v>274</v>
      </c>
      <c r="B61" s="45" t="s">
        <v>49</v>
      </c>
      <c r="C61" s="55">
        <f>+D61+G61</f>
        <v>0</v>
      </c>
      <c r="D61" s="58">
        <v>0</v>
      </c>
      <c r="E61" s="58" t="s">
        <v>614</v>
      </c>
      <c r="F61" s="58" t="s">
        <v>614</v>
      </c>
      <c r="G61" s="58">
        <v>0</v>
      </c>
      <c r="H61" s="58" t="s">
        <v>614</v>
      </c>
      <c r="I61" s="58" t="s">
        <v>614</v>
      </c>
      <c r="J61" s="55">
        <f>+K61+N61</f>
        <v>0</v>
      </c>
      <c r="K61" s="58">
        <v>0</v>
      </c>
      <c r="L61" s="58" t="s">
        <v>614</v>
      </c>
      <c r="M61" s="58" t="s">
        <v>614</v>
      </c>
      <c r="N61" s="58"/>
      <c r="O61" s="58" t="s">
        <v>614</v>
      </c>
      <c r="P61" s="58" t="s">
        <v>614</v>
      </c>
    </row>
    <row r="62" spans="1:16" s="153" customFormat="1" ht="31.5" x14ac:dyDescent="0.25">
      <c r="A62" s="46" t="s">
        <v>275</v>
      </c>
      <c r="B62" s="46" t="s">
        <v>50</v>
      </c>
      <c r="C62" s="57">
        <f t="shared" ref="C62" si="108">C63+C64</f>
        <v>775</v>
      </c>
      <c r="D62" s="57">
        <f t="shared" ref="D62:J62" si="109">D63+D64</f>
        <v>775</v>
      </c>
      <c r="E62" s="58" t="s">
        <v>614</v>
      </c>
      <c r="F62" s="58" t="s">
        <v>614</v>
      </c>
      <c r="G62" s="57">
        <f t="shared" ref="G62" si="110">G63+G64</f>
        <v>0</v>
      </c>
      <c r="H62" s="95" t="s">
        <v>614</v>
      </c>
      <c r="I62" s="95" t="s">
        <v>614</v>
      </c>
      <c r="J62" s="57">
        <f t="shared" si="109"/>
        <v>0</v>
      </c>
      <c r="K62" s="57">
        <f t="shared" ref="K62" si="111">K63+K64</f>
        <v>0</v>
      </c>
      <c r="L62" s="95" t="s">
        <v>614</v>
      </c>
      <c r="M62" s="95" t="s">
        <v>614</v>
      </c>
      <c r="N62" s="57">
        <f t="shared" ref="N62" si="112">N63+N64</f>
        <v>0</v>
      </c>
      <c r="O62" s="95" t="s">
        <v>614</v>
      </c>
      <c r="P62" s="95" t="s">
        <v>614</v>
      </c>
    </row>
    <row r="63" spans="1:16" ht="31.5" x14ac:dyDescent="0.25">
      <c r="A63" s="45" t="s">
        <v>276</v>
      </c>
      <c r="B63" s="45" t="s">
        <v>51</v>
      </c>
      <c r="C63" s="55">
        <f t="shared" ref="C63:C69" si="113">+D63+G63</f>
        <v>775</v>
      </c>
      <c r="D63" s="58">
        <v>775</v>
      </c>
      <c r="E63" s="58" t="s">
        <v>614</v>
      </c>
      <c r="F63" s="58" t="s">
        <v>614</v>
      </c>
      <c r="G63" s="58">
        <v>0</v>
      </c>
      <c r="H63" s="58" t="s">
        <v>614</v>
      </c>
      <c r="I63" s="58" t="s">
        <v>614</v>
      </c>
      <c r="J63" s="55">
        <f t="shared" ref="J63:J69" si="114">+K63+N63</f>
        <v>0</v>
      </c>
      <c r="K63" s="58">
        <v>0</v>
      </c>
      <c r="L63" s="58" t="s">
        <v>614</v>
      </c>
      <c r="M63" s="58" t="s">
        <v>614</v>
      </c>
      <c r="N63" s="58"/>
      <c r="O63" s="58" t="s">
        <v>614</v>
      </c>
      <c r="P63" s="58" t="s">
        <v>614</v>
      </c>
    </row>
    <row r="64" spans="1:16" ht="31.5" x14ac:dyDescent="0.25">
      <c r="A64" s="45" t="s">
        <v>277</v>
      </c>
      <c r="B64" s="45" t="s">
        <v>52</v>
      </c>
      <c r="C64" s="55">
        <f t="shared" si="113"/>
        <v>0</v>
      </c>
      <c r="D64" s="58">
        <v>0</v>
      </c>
      <c r="E64" s="58" t="s">
        <v>614</v>
      </c>
      <c r="F64" s="58" t="s">
        <v>614</v>
      </c>
      <c r="G64" s="58">
        <v>0</v>
      </c>
      <c r="H64" s="58" t="s">
        <v>614</v>
      </c>
      <c r="I64" s="58" t="s">
        <v>614</v>
      </c>
      <c r="J64" s="55">
        <f t="shared" si="114"/>
        <v>0</v>
      </c>
      <c r="K64" s="58">
        <v>0</v>
      </c>
      <c r="L64" s="58" t="s">
        <v>614</v>
      </c>
      <c r="M64" s="58" t="s">
        <v>614</v>
      </c>
      <c r="N64" s="58"/>
      <c r="O64" s="58" t="s">
        <v>614</v>
      </c>
      <c r="P64" s="58" t="s">
        <v>614</v>
      </c>
    </row>
    <row r="65" spans="1:16" ht="31.5" x14ac:dyDescent="0.25">
      <c r="A65" s="45" t="s">
        <v>278</v>
      </c>
      <c r="B65" s="45" t="s">
        <v>53</v>
      </c>
      <c r="C65" s="55">
        <f t="shared" si="113"/>
        <v>715</v>
      </c>
      <c r="D65" s="58">
        <v>715</v>
      </c>
      <c r="E65" s="58" t="s">
        <v>614</v>
      </c>
      <c r="F65" s="58" t="s">
        <v>614</v>
      </c>
      <c r="G65" s="58">
        <v>0</v>
      </c>
      <c r="H65" s="58" t="s">
        <v>614</v>
      </c>
      <c r="I65" s="58" t="s">
        <v>614</v>
      </c>
      <c r="J65" s="55">
        <f t="shared" si="114"/>
        <v>0</v>
      </c>
      <c r="K65" s="58">
        <v>0</v>
      </c>
      <c r="L65" s="58" t="s">
        <v>614</v>
      </c>
      <c r="M65" s="58" t="s">
        <v>614</v>
      </c>
      <c r="N65" s="58"/>
      <c r="O65" s="58" t="s">
        <v>614</v>
      </c>
      <c r="P65" s="58" t="s">
        <v>614</v>
      </c>
    </row>
    <row r="66" spans="1:16" ht="31.5" x14ac:dyDescent="0.25">
      <c r="A66" s="45" t="s">
        <v>279</v>
      </c>
      <c r="B66" s="45" t="s">
        <v>54</v>
      </c>
      <c r="C66" s="55">
        <f t="shared" si="113"/>
        <v>0</v>
      </c>
      <c r="D66" s="58">
        <v>0</v>
      </c>
      <c r="E66" s="58" t="s">
        <v>614</v>
      </c>
      <c r="F66" s="58" t="s">
        <v>614</v>
      </c>
      <c r="G66" s="58">
        <v>0</v>
      </c>
      <c r="H66" s="58" t="s">
        <v>614</v>
      </c>
      <c r="I66" s="58" t="s">
        <v>614</v>
      </c>
      <c r="J66" s="55">
        <f t="shared" si="114"/>
        <v>0</v>
      </c>
      <c r="K66" s="58">
        <v>0</v>
      </c>
      <c r="L66" s="58" t="s">
        <v>614</v>
      </c>
      <c r="M66" s="58" t="s">
        <v>614</v>
      </c>
      <c r="N66" s="58"/>
      <c r="O66" s="58" t="s">
        <v>614</v>
      </c>
      <c r="P66" s="58" t="s">
        <v>614</v>
      </c>
    </row>
    <row r="67" spans="1:16" ht="31.5" x14ac:dyDescent="0.25">
      <c r="A67" s="45" t="s">
        <v>280</v>
      </c>
      <c r="B67" s="45" t="s">
        <v>55</v>
      </c>
      <c r="C67" s="55">
        <f t="shared" si="113"/>
        <v>0</v>
      </c>
      <c r="D67" s="58">
        <v>0</v>
      </c>
      <c r="E67" s="58" t="s">
        <v>614</v>
      </c>
      <c r="F67" s="58" t="s">
        <v>614</v>
      </c>
      <c r="G67" s="58">
        <v>0</v>
      </c>
      <c r="H67" s="58" t="s">
        <v>614</v>
      </c>
      <c r="I67" s="58" t="s">
        <v>614</v>
      </c>
      <c r="J67" s="55">
        <f t="shared" si="114"/>
        <v>0</v>
      </c>
      <c r="K67" s="58">
        <v>0</v>
      </c>
      <c r="L67" s="58" t="s">
        <v>614</v>
      </c>
      <c r="M67" s="58" t="s">
        <v>614</v>
      </c>
      <c r="N67" s="58"/>
      <c r="O67" s="58" t="s">
        <v>614</v>
      </c>
      <c r="P67" s="58" t="s">
        <v>614</v>
      </c>
    </row>
    <row r="68" spans="1:16" ht="31.5" x14ac:dyDescent="0.25">
      <c r="A68" s="45" t="s">
        <v>281</v>
      </c>
      <c r="B68" s="45" t="s">
        <v>56</v>
      </c>
      <c r="C68" s="55">
        <f t="shared" si="113"/>
        <v>5186</v>
      </c>
      <c r="D68" s="58">
        <v>5186</v>
      </c>
      <c r="E68" s="58" t="s">
        <v>614</v>
      </c>
      <c r="F68" s="58" t="s">
        <v>614</v>
      </c>
      <c r="G68" s="58">
        <v>0</v>
      </c>
      <c r="H68" s="58" t="s">
        <v>614</v>
      </c>
      <c r="I68" s="58" t="s">
        <v>614</v>
      </c>
      <c r="J68" s="55">
        <f t="shared" si="114"/>
        <v>599</v>
      </c>
      <c r="K68" s="58">
        <v>599</v>
      </c>
      <c r="L68" s="58" t="s">
        <v>614</v>
      </c>
      <c r="M68" s="58" t="s">
        <v>614</v>
      </c>
      <c r="N68" s="58"/>
      <c r="O68" s="58" t="s">
        <v>614</v>
      </c>
      <c r="P68" s="58" t="s">
        <v>614</v>
      </c>
    </row>
    <row r="69" spans="1:16" ht="47.25" x14ac:dyDescent="0.25">
      <c r="A69" s="46" t="s">
        <v>282</v>
      </c>
      <c r="B69" s="46" t="s">
        <v>57</v>
      </c>
      <c r="C69" s="55">
        <f t="shared" si="113"/>
        <v>1060</v>
      </c>
      <c r="D69" s="58">
        <v>1060</v>
      </c>
      <c r="E69" s="58" t="s">
        <v>614</v>
      </c>
      <c r="F69" s="58" t="s">
        <v>614</v>
      </c>
      <c r="G69" s="58">
        <v>0</v>
      </c>
      <c r="H69" s="58" t="s">
        <v>614</v>
      </c>
      <c r="I69" s="58" t="s">
        <v>614</v>
      </c>
      <c r="J69" s="55">
        <f t="shared" si="114"/>
        <v>60</v>
      </c>
      <c r="K69" s="58">
        <v>60</v>
      </c>
      <c r="L69" s="58" t="s">
        <v>614</v>
      </c>
      <c r="M69" s="58" t="s">
        <v>614</v>
      </c>
      <c r="N69" s="58"/>
      <c r="O69" s="58" t="s">
        <v>614</v>
      </c>
      <c r="P69" s="58" t="s">
        <v>614</v>
      </c>
    </row>
    <row r="70" spans="1:16" s="153" customFormat="1" ht="31.5" x14ac:dyDescent="0.25">
      <c r="A70" s="46" t="s">
        <v>283</v>
      </c>
      <c r="B70" s="46" t="s">
        <v>58</v>
      </c>
      <c r="C70" s="57">
        <f t="shared" ref="C70" si="115">C71+C72</f>
        <v>36472</v>
      </c>
      <c r="D70" s="57">
        <f t="shared" ref="D70:J70" si="116">D71+D72</f>
        <v>36472</v>
      </c>
      <c r="E70" s="58" t="s">
        <v>614</v>
      </c>
      <c r="F70" s="58" t="s">
        <v>614</v>
      </c>
      <c r="G70" s="57">
        <f t="shared" ref="G70" si="117">G71+G72</f>
        <v>0</v>
      </c>
      <c r="H70" s="95" t="s">
        <v>614</v>
      </c>
      <c r="I70" s="95" t="s">
        <v>614</v>
      </c>
      <c r="J70" s="57">
        <f t="shared" si="116"/>
        <v>3054</v>
      </c>
      <c r="K70" s="57">
        <f t="shared" ref="K70" si="118">K71+K72</f>
        <v>3054</v>
      </c>
      <c r="L70" s="95" t="s">
        <v>614</v>
      </c>
      <c r="M70" s="95" t="s">
        <v>614</v>
      </c>
      <c r="N70" s="57">
        <f t="shared" ref="N70" si="119">N71+N72</f>
        <v>0</v>
      </c>
      <c r="O70" s="95" t="s">
        <v>614</v>
      </c>
      <c r="P70" s="95" t="s">
        <v>614</v>
      </c>
    </row>
    <row r="71" spans="1:16" ht="31.5" x14ac:dyDescent="0.25">
      <c r="A71" s="45" t="s">
        <v>284</v>
      </c>
      <c r="B71" s="45" t="s">
        <v>59</v>
      </c>
      <c r="C71" s="55">
        <f t="shared" ref="C71:C72" si="120">+D71+G71</f>
        <v>36472</v>
      </c>
      <c r="D71" s="58">
        <v>36472</v>
      </c>
      <c r="E71" s="58" t="s">
        <v>614</v>
      </c>
      <c r="F71" s="58" t="s">
        <v>614</v>
      </c>
      <c r="G71" s="58">
        <v>0</v>
      </c>
      <c r="H71" s="58" t="s">
        <v>614</v>
      </c>
      <c r="I71" s="58" t="s">
        <v>614</v>
      </c>
      <c r="J71" s="55">
        <f t="shared" ref="J71:J72" si="121">+K71+N71</f>
        <v>3054</v>
      </c>
      <c r="K71" s="58">
        <v>3054</v>
      </c>
      <c r="L71" s="58" t="s">
        <v>614</v>
      </c>
      <c r="M71" s="58" t="s">
        <v>614</v>
      </c>
      <c r="N71" s="58"/>
      <c r="O71" s="58" t="s">
        <v>614</v>
      </c>
      <c r="P71" s="58" t="s">
        <v>614</v>
      </c>
    </row>
    <row r="72" spans="1:16" ht="31.5" x14ac:dyDescent="0.25">
      <c r="A72" s="45" t="s">
        <v>285</v>
      </c>
      <c r="B72" s="45" t="s">
        <v>60</v>
      </c>
      <c r="C72" s="55">
        <f t="shared" si="120"/>
        <v>0</v>
      </c>
      <c r="D72" s="58">
        <v>0</v>
      </c>
      <c r="E72" s="58" t="s">
        <v>614</v>
      </c>
      <c r="F72" s="58" t="s">
        <v>614</v>
      </c>
      <c r="G72" s="58">
        <v>0</v>
      </c>
      <c r="H72" s="58" t="s">
        <v>614</v>
      </c>
      <c r="I72" s="58" t="s">
        <v>614</v>
      </c>
      <c r="J72" s="55">
        <f t="shared" si="121"/>
        <v>0</v>
      </c>
      <c r="K72" s="58">
        <v>0</v>
      </c>
      <c r="L72" s="58" t="s">
        <v>614</v>
      </c>
      <c r="M72" s="58" t="s">
        <v>614</v>
      </c>
      <c r="N72" s="58"/>
      <c r="O72" s="58" t="s">
        <v>614</v>
      </c>
      <c r="P72" s="58" t="s">
        <v>614</v>
      </c>
    </row>
    <row r="73" spans="1:16" s="153" customFormat="1" x14ac:dyDescent="0.25">
      <c r="A73" s="46" t="s">
        <v>286</v>
      </c>
      <c r="B73" s="46" t="s">
        <v>4</v>
      </c>
      <c r="C73" s="52">
        <f t="shared" ref="C73:P74" si="122">C74</f>
        <v>0</v>
      </c>
      <c r="D73" s="52">
        <f t="shared" si="122"/>
        <v>0</v>
      </c>
      <c r="E73" s="59" t="str">
        <f t="shared" si="122"/>
        <v>x</v>
      </c>
      <c r="F73" s="59" t="str">
        <f t="shared" si="122"/>
        <v>x</v>
      </c>
      <c r="G73" s="52">
        <f t="shared" si="122"/>
        <v>0</v>
      </c>
      <c r="H73" s="59" t="str">
        <f t="shared" si="122"/>
        <v>x</v>
      </c>
      <c r="I73" s="59" t="str">
        <f t="shared" si="122"/>
        <v>x</v>
      </c>
      <c r="J73" s="52">
        <f t="shared" si="122"/>
        <v>0</v>
      </c>
      <c r="K73" s="52">
        <f t="shared" si="122"/>
        <v>0</v>
      </c>
      <c r="L73" s="59" t="str">
        <f t="shared" si="122"/>
        <v>x</v>
      </c>
      <c r="M73" s="59" t="str">
        <f t="shared" si="122"/>
        <v>x</v>
      </c>
      <c r="N73" s="52">
        <f t="shared" si="122"/>
        <v>0</v>
      </c>
      <c r="O73" s="59" t="str">
        <f t="shared" si="122"/>
        <v>x</v>
      </c>
      <c r="P73" s="59" t="str">
        <f t="shared" si="122"/>
        <v>x</v>
      </c>
    </row>
    <row r="74" spans="1:16" s="153" customFormat="1" ht="31.5" x14ac:dyDescent="0.25">
      <c r="A74" s="46" t="s">
        <v>287</v>
      </c>
      <c r="B74" s="46" t="s">
        <v>61</v>
      </c>
      <c r="C74" s="52">
        <f t="shared" si="122"/>
        <v>0</v>
      </c>
      <c r="D74" s="52">
        <f t="shared" si="122"/>
        <v>0</v>
      </c>
      <c r="E74" s="59" t="str">
        <f t="shared" si="122"/>
        <v>x</v>
      </c>
      <c r="F74" s="59" t="str">
        <f t="shared" si="122"/>
        <v>x</v>
      </c>
      <c r="G74" s="52">
        <f t="shared" si="122"/>
        <v>0</v>
      </c>
      <c r="H74" s="59" t="str">
        <f t="shared" si="122"/>
        <v>x</v>
      </c>
      <c r="I74" s="59" t="str">
        <f t="shared" si="122"/>
        <v>x</v>
      </c>
      <c r="J74" s="52">
        <f t="shared" si="122"/>
        <v>0</v>
      </c>
      <c r="K74" s="52">
        <f t="shared" si="122"/>
        <v>0</v>
      </c>
      <c r="L74" s="59" t="str">
        <f t="shared" si="122"/>
        <v>x</v>
      </c>
      <c r="M74" s="59" t="str">
        <f t="shared" si="122"/>
        <v>x</v>
      </c>
      <c r="N74" s="52">
        <f t="shared" si="122"/>
        <v>0</v>
      </c>
      <c r="O74" s="59" t="str">
        <f t="shared" si="122"/>
        <v>x</v>
      </c>
      <c r="P74" s="59" t="str">
        <f t="shared" si="122"/>
        <v>x</v>
      </c>
    </row>
    <row r="75" spans="1:16" ht="31.5" x14ac:dyDescent="0.25">
      <c r="A75" s="45" t="s">
        <v>288</v>
      </c>
      <c r="B75" s="45" t="s">
        <v>62</v>
      </c>
      <c r="C75" s="55">
        <f>+D75+G75</f>
        <v>0</v>
      </c>
      <c r="D75" s="58">
        <v>0</v>
      </c>
      <c r="E75" s="58" t="s">
        <v>614</v>
      </c>
      <c r="F75" s="58" t="s">
        <v>614</v>
      </c>
      <c r="G75" s="58">
        <v>0</v>
      </c>
      <c r="H75" s="58" t="s">
        <v>614</v>
      </c>
      <c r="I75" s="58" t="s">
        <v>614</v>
      </c>
      <c r="J75" s="55">
        <f>+K75+N75</f>
        <v>0</v>
      </c>
      <c r="K75" s="58">
        <v>0</v>
      </c>
      <c r="L75" s="58" t="s">
        <v>614</v>
      </c>
      <c r="M75" s="58" t="s">
        <v>614</v>
      </c>
      <c r="N75" s="58"/>
      <c r="O75" s="58" t="s">
        <v>614</v>
      </c>
      <c r="P75" s="58" t="s">
        <v>614</v>
      </c>
    </row>
    <row r="76" spans="1:16" s="153" customFormat="1" ht="17.25" customHeight="1" x14ac:dyDescent="0.25">
      <c r="A76" s="46" t="s">
        <v>289</v>
      </c>
      <c r="B76" s="46" t="s">
        <v>8</v>
      </c>
      <c r="C76" s="52">
        <f t="shared" ref="C76" si="123">C77+C78</f>
        <v>114314</v>
      </c>
      <c r="D76" s="52">
        <f t="shared" ref="D76:J76" si="124">D77+D78</f>
        <v>114314</v>
      </c>
      <c r="E76" s="58" t="s">
        <v>614</v>
      </c>
      <c r="F76" s="58" t="s">
        <v>614</v>
      </c>
      <c r="G76" s="52">
        <f t="shared" ref="G76" si="125">G77+G78</f>
        <v>0</v>
      </c>
      <c r="H76" s="94" t="s">
        <v>614</v>
      </c>
      <c r="I76" s="94" t="s">
        <v>614</v>
      </c>
      <c r="J76" s="52">
        <f t="shared" si="124"/>
        <v>9396</v>
      </c>
      <c r="K76" s="52">
        <f t="shared" ref="K76" si="126">K77+K78</f>
        <v>9396</v>
      </c>
      <c r="L76" s="94" t="s">
        <v>614</v>
      </c>
      <c r="M76" s="94" t="s">
        <v>614</v>
      </c>
      <c r="N76" s="52">
        <f t="shared" ref="N76" si="127">N77+N78</f>
        <v>0</v>
      </c>
      <c r="O76" s="94" t="s">
        <v>614</v>
      </c>
      <c r="P76" s="94" t="s">
        <v>614</v>
      </c>
    </row>
    <row r="77" spans="1:16" ht="31.5" x14ac:dyDescent="0.25">
      <c r="A77" s="45" t="s">
        <v>290</v>
      </c>
      <c r="B77" s="45" t="s">
        <v>63</v>
      </c>
      <c r="C77" s="55">
        <f t="shared" ref="C77:C78" si="128">+D77+G77</f>
        <v>0</v>
      </c>
      <c r="D77" s="58">
        <v>0</v>
      </c>
      <c r="E77" s="58" t="s">
        <v>614</v>
      </c>
      <c r="F77" s="58" t="s">
        <v>614</v>
      </c>
      <c r="G77" s="58">
        <v>0</v>
      </c>
      <c r="H77" s="58" t="s">
        <v>614</v>
      </c>
      <c r="I77" s="58" t="s">
        <v>614</v>
      </c>
      <c r="J77" s="55">
        <f t="shared" ref="J77" si="129">+K77+N77</f>
        <v>0</v>
      </c>
      <c r="K77" s="58">
        <v>0</v>
      </c>
      <c r="L77" s="58" t="s">
        <v>614</v>
      </c>
      <c r="M77" s="58" t="s">
        <v>614</v>
      </c>
      <c r="N77" s="58"/>
      <c r="O77" s="58" t="s">
        <v>614</v>
      </c>
      <c r="P77" s="58" t="s">
        <v>614</v>
      </c>
    </row>
    <row r="78" spans="1:16" ht="31.5" x14ac:dyDescent="0.25">
      <c r="A78" s="45" t="s">
        <v>291</v>
      </c>
      <c r="B78" s="45" t="s">
        <v>220</v>
      </c>
      <c r="C78" s="55">
        <f t="shared" si="128"/>
        <v>114314</v>
      </c>
      <c r="D78" s="58">
        <v>114314</v>
      </c>
      <c r="E78" s="58" t="s">
        <v>614</v>
      </c>
      <c r="F78" s="58" t="s">
        <v>614</v>
      </c>
      <c r="G78" s="58">
        <v>0</v>
      </c>
      <c r="H78" s="58" t="s">
        <v>614</v>
      </c>
      <c r="I78" s="58" t="s">
        <v>614</v>
      </c>
      <c r="J78" s="55">
        <v>9396</v>
      </c>
      <c r="K78" s="58">
        <v>9396</v>
      </c>
      <c r="L78" s="58" t="s">
        <v>614</v>
      </c>
      <c r="M78" s="58" t="s">
        <v>614</v>
      </c>
      <c r="N78" s="58"/>
      <c r="O78" s="58" t="s">
        <v>614</v>
      </c>
      <c r="P78" s="58" t="s">
        <v>614</v>
      </c>
    </row>
    <row r="79" spans="1:16" s="153" customFormat="1" x14ac:dyDescent="0.25">
      <c r="A79" s="46" t="s">
        <v>292</v>
      </c>
      <c r="B79" s="46" t="s">
        <v>10</v>
      </c>
      <c r="C79" s="52">
        <f t="shared" ref="C79:N79" si="130">C80</f>
        <v>0</v>
      </c>
      <c r="D79" s="52">
        <f t="shared" si="130"/>
        <v>0</v>
      </c>
      <c r="E79" s="58" t="s">
        <v>614</v>
      </c>
      <c r="F79" s="58" t="s">
        <v>614</v>
      </c>
      <c r="G79" s="52">
        <f t="shared" si="130"/>
        <v>0</v>
      </c>
      <c r="H79" s="94" t="s">
        <v>614</v>
      </c>
      <c r="I79" s="94" t="s">
        <v>614</v>
      </c>
      <c r="J79" s="52">
        <f t="shared" si="130"/>
        <v>0</v>
      </c>
      <c r="K79" s="52">
        <f t="shared" si="130"/>
        <v>0</v>
      </c>
      <c r="L79" s="94" t="s">
        <v>614</v>
      </c>
      <c r="M79" s="94" t="s">
        <v>614</v>
      </c>
      <c r="N79" s="52">
        <f t="shared" si="130"/>
        <v>0</v>
      </c>
      <c r="O79" s="94" t="s">
        <v>614</v>
      </c>
      <c r="P79" s="94" t="s">
        <v>614</v>
      </c>
    </row>
    <row r="80" spans="1:16" s="153" customFormat="1" x14ac:dyDescent="0.25">
      <c r="A80" s="46" t="s">
        <v>293</v>
      </c>
      <c r="B80" s="46" t="s">
        <v>219</v>
      </c>
      <c r="C80" s="52">
        <f t="shared" ref="C80" si="131">C81+C86</f>
        <v>0</v>
      </c>
      <c r="D80" s="52">
        <f t="shared" ref="D80:J80" si="132">D81+D86</f>
        <v>0</v>
      </c>
      <c r="E80" s="58" t="s">
        <v>614</v>
      </c>
      <c r="F80" s="58" t="s">
        <v>614</v>
      </c>
      <c r="G80" s="52">
        <f t="shared" ref="G80" si="133">G81+G86</f>
        <v>0</v>
      </c>
      <c r="H80" s="94" t="s">
        <v>614</v>
      </c>
      <c r="I80" s="94" t="s">
        <v>614</v>
      </c>
      <c r="J80" s="52">
        <f t="shared" si="132"/>
        <v>0</v>
      </c>
      <c r="K80" s="52">
        <f t="shared" ref="K80" si="134">K81+K86</f>
        <v>0</v>
      </c>
      <c r="L80" s="94" t="s">
        <v>614</v>
      </c>
      <c r="M80" s="94" t="s">
        <v>614</v>
      </c>
      <c r="N80" s="52">
        <f t="shared" ref="N80" si="135">N81+N86</f>
        <v>0</v>
      </c>
      <c r="O80" s="94" t="s">
        <v>614</v>
      </c>
      <c r="P80" s="94" t="s">
        <v>614</v>
      </c>
    </row>
    <row r="81" spans="1:16" s="153" customFormat="1" ht="31.5" x14ac:dyDescent="0.25">
      <c r="A81" s="46" t="s">
        <v>294</v>
      </c>
      <c r="B81" s="46" t="s">
        <v>64</v>
      </c>
      <c r="C81" s="52">
        <f t="shared" ref="C81" si="136">C82+C83+C84+C85</f>
        <v>0</v>
      </c>
      <c r="D81" s="52">
        <f t="shared" ref="D81:J81" si="137">D82+D83+D84+D85</f>
        <v>0</v>
      </c>
      <c r="E81" s="58" t="s">
        <v>614</v>
      </c>
      <c r="F81" s="58" t="s">
        <v>614</v>
      </c>
      <c r="G81" s="52">
        <f t="shared" ref="G81" si="138">G82+G83+G84+G85</f>
        <v>0</v>
      </c>
      <c r="H81" s="94" t="s">
        <v>614</v>
      </c>
      <c r="I81" s="94" t="s">
        <v>614</v>
      </c>
      <c r="J81" s="52">
        <f t="shared" si="137"/>
        <v>0</v>
      </c>
      <c r="K81" s="52">
        <f t="shared" ref="K81" si="139">K82+K83+K84+K85</f>
        <v>0</v>
      </c>
      <c r="L81" s="94" t="s">
        <v>614</v>
      </c>
      <c r="M81" s="94" t="s">
        <v>614</v>
      </c>
      <c r="N81" s="52">
        <f t="shared" ref="N81" si="140">N82+N83+N84+N85</f>
        <v>0</v>
      </c>
      <c r="O81" s="94" t="s">
        <v>614</v>
      </c>
      <c r="P81" s="94" t="s">
        <v>614</v>
      </c>
    </row>
    <row r="82" spans="1:16" ht="31.5" x14ac:dyDescent="0.25">
      <c r="A82" s="45" t="s">
        <v>295</v>
      </c>
      <c r="B82" s="45" t="s">
        <v>65</v>
      </c>
      <c r="C82" s="55">
        <f t="shared" ref="C82:C86" si="141">+D82+G82</f>
        <v>0</v>
      </c>
      <c r="D82" s="58">
        <v>0</v>
      </c>
      <c r="E82" s="58" t="s">
        <v>614</v>
      </c>
      <c r="F82" s="58" t="s">
        <v>614</v>
      </c>
      <c r="G82" s="58">
        <v>0</v>
      </c>
      <c r="H82" s="58" t="s">
        <v>614</v>
      </c>
      <c r="I82" s="58" t="s">
        <v>614</v>
      </c>
      <c r="J82" s="55">
        <f t="shared" ref="J82:J87" si="142">+K82+N82</f>
        <v>0</v>
      </c>
      <c r="K82" s="58">
        <v>0</v>
      </c>
      <c r="L82" s="58" t="s">
        <v>614</v>
      </c>
      <c r="M82" s="58" t="s">
        <v>614</v>
      </c>
      <c r="N82" s="58"/>
      <c r="O82" s="58" t="s">
        <v>614</v>
      </c>
      <c r="P82" s="58" t="s">
        <v>614</v>
      </c>
    </row>
    <row r="83" spans="1:16" ht="31.5" x14ac:dyDescent="0.25">
      <c r="A83" s="45" t="s">
        <v>296</v>
      </c>
      <c r="B83" s="45" t="s">
        <v>66</v>
      </c>
      <c r="C83" s="55">
        <f t="shared" si="141"/>
        <v>0</v>
      </c>
      <c r="D83" s="58">
        <v>0</v>
      </c>
      <c r="E83" s="58" t="s">
        <v>614</v>
      </c>
      <c r="F83" s="58" t="s">
        <v>614</v>
      </c>
      <c r="G83" s="58">
        <v>0</v>
      </c>
      <c r="H83" s="58" t="s">
        <v>614</v>
      </c>
      <c r="I83" s="58" t="s">
        <v>614</v>
      </c>
      <c r="J83" s="55">
        <f t="shared" si="142"/>
        <v>0</v>
      </c>
      <c r="K83" s="58">
        <v>0</v>
      </c>
      <c r="L83" s="58" t="s">
        <v>614</v>
      </c>
      <c r="M83" s="58" t="s">
        <v>614</v>
      </c>
      <c r="N83" s="58"/>
      <c r="O83" s="58" t="s">
        <v>614</v>
      </c>
      <c r="P83" s="58" t="s">
        <v>614</v>
      </c>
    </row>
    <row r="84" spans="1:16" ht="31.5" x14ac:dyDescent="0.25">
      <c r="A84" s="45" t="s">
        <v>297</v>
      </c>
      <c r="B84" s="45" t="s">
        <v>67</v>
      </c>
      <c r="C84" s="55">
        <f t="shared" si="141"/>
        <v>0</v>
      </c>
      <c r="D84" s="58">
        <v>0</v>
      </c>
      <c r="E84" s="58" t="s">
        <v>614</v>
      </c>
      <c r="F84" s="58" t="s">
        <v>614</v>
      </c>
      <c r="G84" s="58">
        <v>0</v>
      </c>
      <c r="H84" s="58" t="s">
        <v>614</v>
      </c>
      <c r="I84" s="58" t="s">
        <v>614</v>
      </c>
      <c r="J84" s="55">
        <f t="shared" si="142"/>
        <v>0</v>
      </c>
      <c r="K84" s="58">
        <v>0</v>
      </c>
      <c r="L84" s="58" t="s">
        <v>614</v>
      </c>
      <c r="M84" s="58" t="s">
        <v>614</v>
      </c>
      <c r="N84" s="58"/>
      <c r="O84" s="58" t="s">
        <v>614</v>
      </c>
      <c r="P84" s="58" t="s">
        <v>614</v>
      </c>
    </row>
    <row r="85" spans="1:16" s="155" customFormat="1" ht="31.5" x14ac:dyDescent="0.25">
      <c r="A85" s="114" t="s">
        <v>298</v>
      </c>
      <c r="B85" s="114" t="s">
        <v>68</v>
      </c>
      <c r="C85" s="55">
        <f t="shared" si="141"/>
        <v>0</v>
      </c>
      <c r="D85" s="58">
        <v>0</v>
      </c>
      <c r="E85" s="58" t="s">
        <v>614</v>
      </c>
      <c r="F85" s="58" t="s">
        <v>614</v>
      </c>
      <c r="G85" s="58">
        <v>0</v>
      </c>
      <c r="H85" s="58" t="s">
        <v>614</v>
      </c>
      <c r="I85" s="58" t="s">
        <v>614</v>
      </c>
      <c r="J85" s="55">
        <f t="shared" si="142"/>
        <v>0</v>
      </c>
      <c r="K85" s="58">
        <v>0</v>
      </c>
      <c r="L85" s="58" t="s">
        <v>614</v>
      </c>
      <c r="M85" s="58" t="s">
        <v>614</v>
      </c>
      <c r="N85" s="58"/>
      <c r="O85" s="58" t="s">
        <v>614</v>
      </c>
      <c r="P85" s="58" t="s">
        <v>614</v>
      </c>
    </row>
    <row r="86" spans="1:16" s="155" customFormat="1" ht="31.5" x14ac:dyDescent="0.25">
      <c r="A86" s="114" t="s">
        <v>299</v>
      </c>
      <c r="B86" s="114" t="s">
        <v>69</v>
      </c>
      <c r="C86" s="55">
        <f t="shared" si="141"/>
        <v>0</v>
      </c>
      <c r="D86" s="58">
        <v>0</v>
      </c>
      <c r="E86" s="58" t="s">
        <v>614</v>
      </c>
      <c r="F86" s="58" t="s">
        <v>614</v>
      </c>
      <c r="G86" s="58">
        <v>0</v>
      </c>
      <c r="H86" s="58" t="s">
        <v>614</v>
      </c>
      <c r="I86" s="58" t="s">
        <v>614</v>
      </c>
      <c r="J86" s="55">
        <f t="shared" si="142"/>
        <v>0</v>
      </c>
      <c r="K86" s="58">
        <v>0</v>
      </c>
      <c r="L86" s="58" t="s">
        <v>614</v>
      </c>
      <c r="M86" s="58" t="s">
        <v>614</v>
      </c>
      <c r="N86" s="58"/>
      <c r="O86" s="58" t="s">
        <v>614</v>
      </c>
      <c r="P86" s="58" t="s">
        <v>614</v>
      </c>
    </row>
    <row r="87" spans="1:16" s="153" customFormat="1" x14ac:dyDescent="0.25">
      <c r="A87" s="112" t="s">
        <v>240</v>
      </c>
      <c r="B87" s="112" t="s">
        <v>70</v>
      </c>
      <c r="C87" s="58"/>
      <c r="D87" s="58">
        <v>0</v>
      </c>
      <c r="E87" s="58"/>
      <c r="F87" s="58"/>
      <c r="G87" s="58"/>
      <c r="H87" s="58"/>
      <c r="I87" s="58"/>
      <c r="J87" s="58">
        <f t="shared" si="142"/>
        <v>0</v>
      </c>
      <c r="K87" s="58">
        <v>0</v>
      </c>
      <c r="L87" s="58"/>
      <c r="M87" s="58"/>
      <c r="N87" s="58"/>
      <c r="O87" s="58"/>
      <c r="P87" s="58"/>
    </row>
    <row r="88" spans="1:16" s="153" customFormat="1" x14ac:dyDescent="0.25">
      <c r="A88" s="112" t="s">
        <v>300</v>
      </c>
      <c r="B88" s="112" t="s">
        <v>71</v>
      </c>
      <c r="C88" s="59">
        <f>C44-C90+C9+C11+C12+C15+C17</f>
        <v>440662153</v>
      </c>
      <c r="D88" s="59">
        <f t="shared" ref="D88:J88" si="143">D44-D90+D9+D11+D12+D15+D17</f>
        <v>440612889</v>
      </c>
      <c r="E88" s="58" t="s">
        <v>614</v>
      </c>
      <c r="F88" s="58" t="s">
        <v>614</v>
      </c>
      <c r="G88" s="59">
        <f t="shared" ref="G88" si="144">G44-G90+G9+G11+G12+G15+G17</f>
        <v>49264</v>
      </c>
      <c r="H88" s="94" t="s">
        <v>614</v>
      </c>
      <c r="I88" s="94" t="s">
        <v>614</v>
      </c>
      <c r="J88" s="59">
        <f t="shared" si="143"/>
        <v>36463383</v>
      </c>
      <c r="K88" s="59">
        <f t="shared" ref="K88" si="145">K44-K90+K9+K11+K12+K15+K17</f>
        <v>36463383</v>
      </c>
      <c r="L88" s="94" t="s">
        <v>614</v>
      </c>
      <c r="M88" s="94" t="s">
        <v>614</v>
      </c>
      <c r="N88" s="59">
        <f t="shared" ref="N88" si="146">N44-N90+N9+N11+N12+N15+N17</f>
        <v>0</v>
      </c>
      <c r="O88" s="94" t="s">
        <v>614</v>
      </c>
      <c r="P88" s="94" t="s">
        <v>614</v>
      </c>
    </row>
    <row r="89" spans="1:16" s="153" customFormat="1" ht="31.5" customHeight="1" x14ac:dyDescent="0.25">
      <c r="A89" s="143"/>
      <c r="B89" s="115" t="s">
        <v>391</v>
      </c>
      <c r="C89" s="55">
        <f>+D89+G89</f>
        <v>-124563</v>
      </c>
      <c r="D89" s="58">
        <v>0</v>
      </c>
      <c r="E89" s="58" t="s">
        <v>614</v>
      </c>
      <c r="F89" s="58" t="s">
        <v>614</v>
      </c>
      <c r="G89" s="58">
        <v>-124563</v>
      </c>
      <c r="H89" s="58" t="s">
        <v>614</v>
      </c>
      <c r="I89" s="58" t="s">
        <v>614</v>
      </c>
      <c r="J89" s="55">
        <f>+K89+N89</f>
        <v>0</v>
      </c>
      <c r="K89" s="58">
        <v>0</v>
      </c>
      <c r="L89" s="58" t="s">
        <v>614</v>
      </c>
      <c r="M89" s="58" t="s">
        <v>614</v>
      </c>
      <c r="N89" s="58">
        <v>0</v>
      </c>
      <c r="O89" s="58" t="s">
        <v>614</v>
      </c>
      <c r="P89" s="58" t="s">
        <v>614</v>
      </c>
    </row>
    <row r="90" spans="1:16" s="153" customFormat="1" ht="31.5" x14ac:dyDescent="0.25">
      <c r="A90" s="113" t="s">
        <v>301</v>
      </c>
      <c r="B90" s="113" t="s">
        <v>72</v>
      </c>
      <c r="C90" s="60">
        <f t="shared" ref="C90:J90" si="147">C91+C194+C251+C256+C289+C295</f>
        <v>1286245628</v>
      </c>
      <c r="D90" s="60">
        <f t="shared" si="147"/>
        <v>1033370792</v>
      </c>
      <c r="E90" s="60">
        <f t="shared" si="147"/>
        <v>401829685</v>
      </c>
      <c r="F90" s="60">
        <f t="shared" si="147"/>
        <v>631541107</v>
      </c>
      <c r="G90" s="60">
        <f t="shared" ref="G90:I90" si="148">G91+G194+G251+G256+G289+G295</f>
        <v>252874836</v>
      </c>
      <c r="H90" s="60">
        <f t="shared" si="148"/>
        <v>84818019</v>
      </c>
      <c r="I90" s="60">
        <f t="shared" si="148"/>
        <v>168056817</v>
      </c>
      <c r="J90" s="60">
        <f t="shared" si="147"/>
        <v>128552129</v>
      </c>
      <c r="K90" s="60">
        <f t="shared" ref="K90:P90" si="149">K91+K194+K251+K256+K289+K295</f>
        <v>128552129</v>
      </c>
      <c r="L90" s="60">
        <f t="shared" si="149"/>
        <v>45895645</v>
      </c>
      <c r="M90" s="60">
        <f t="shared" si="149"/>
        <v>82656484</v>
      </c>
      <c r="N90" s="60">
        <f t="shared" si="149"/>
        <v>0</v>
      </c>
      <c r="O90" s="60">
        <f t="shared" si="149"/>
        <v>0</v>
      </c>
      <c r="P90" s="60">
        <f t="shared" si="149"/>
        <v>0</v>
      </c>
    </row>
    <row r="91" spans="1:16" s="153" customFormat="1" ht="31.5" x14ac:dyDescent="0.25">
      <c r="A91" s="113" t="s">
        <v>302</v>
      </c>
      <c r="B91" s="113" t="s">
        <v>73</v>
      </c>
      <c r="C91" s="60">
        <f t="shared" ref="C91:J91" si="150">C92+C111+C153+C185+C190</f>
        <v>660677780</v>
      </c>
      <c r="D91" s="60">
        <f t="shared" si="150"/>
        <v>478410799</v>
      </c>
      <c r="E91" s="56">
        <f t="shared" si="150"/>
        <v>69409979</v>
      </c>
      <c r="F91" s="56">
        <f t="shared" si="150"/>
        <v>409000820</v>
      </c>
      <c r="G91" s="60">
        <f t="shared" ref="G91:I91" si="151">G92+G111+G153+G185+G190</f>
        <v>182266981</v>
      </c>
      <c r="H91" s="56">
        <f t="shared" si="151"/>
        <v>32944849</v>
      </c>
      <c r="I91" s="56">
        <f t="shared" si="151"/>
        <v>149322132</v>
      </c>
      <c r="J91" s="60">
        <f t="shared" si="150"/>
        <v>68160150</v>
      </c>
      <c r="K91" s="60">
        <f t="shared" ref="K91:P91" si="152">K92+K111+K153+K185+K190</f>
        <v>68160150</v>
      </c>
      <c r="L91" s="56">
        <f t="shared" si="152"/>
        <v>8786921</v>
      </c>
      <c r="M91" s="56">
        <f t="shared" si="152"/>
        <v>59373229</v>
      </c>
      <c r="N91" s="60">
        <f t="shared" si="152"/>
        <v>0</v>
      </c>
      <c r="O91" s="56">
        <f t="shared" si="152"/>
        <v>0</v>
      </c>
      <c r="P91" s="56">
        <f t="shared" si="152"/>
        <v>0</v>
      </c>
    </row>
    <row r="92" spans="1:16" s="153" customFormat="1" ht="31.5" x14ac:dyDescent="0.25">
      <c r="A92" s="46" t="s">
        <v>303</v>
      </c>
      <c r="B92" s="46" t="s">
        <v>74</v>
      </c>
      <c r="C92" s="61">
        <f>C93+C94+C95+C109+C108+C99+C102+C96</f>
        <v>239967563</v>
      </c>
      <c r="D92" s="61">
        <f t="shared" ref="D92:J92" si="153">D93+D94+D95+D109+D108+D99+D102+D96</f>
        <v>174928941</v>
      </c>
      <c r="E92" s="61">
        <f t="shared" si="153"/>
        <v>276960</v>
      </c>
      <c r="F92" s="61">
        <f t="shared" si="153"/>
        <v>174651981</v>
      </c>
      <c r="G92" s="61">
        <f t="shared" ref="G92:I92" si="154">G93+G94+G95+G109+G108+G99+G102+G96</f>
        <v>65038622</v>
      </c>
      <c r="H92" s="61">
        <f t="shared" si="154"/>
        <v>0</v>
      </c>
      <c r="I92" s="61">
        <f t="shared" si="154"/>
        <v>65038622</v>
      </c>
      <c r="J92" s="61">
        <f t="shared" si="153"/>
        <v>28276849</v>
      </c>
      <c r="K92" s="61">
        <f t="shared" ref="K92:P92" si="155">K93+K94+K95+K109+K108+K99+K102+K96</f>
        <v>28276849</v>
      </c>
      <c r="L92" s="61">
        <f t="shared" si="155"/>
        <v>25000</v>
      </c>
      <c r="M92" s="61">
        <f t="shared" si="155"/>
        <v>28251849</v>
      </c>
      <c r="N92" s="61">
        <f t="shared" si="155"/>
        <v>0</v>
      </c>
      <c r="O92" s="61">
        <f t="shared" si="155"/>
        <v>0</v>
      </c>
      <c r="P92" s="61">
        <f t="shared" si="155"/>
        <v>0</v>
      </c>
    </row>
    <row r="93" spans="1:16" x14ac:dyDescent="0.25">
      <c r="A93" s="45"/>
      <c r="B93" s="45" t="s">
        <v>75</v>
      </c>
      <c r="C93" s="55">
        <f t="shared" ref="C93:C95" si="156">+D93+G93</f>
        <v>191155640</v>
      </c>
      <c r="D93" s="55">
        <f t="shared" ref="D93:D95" si="157">+E93+F93</f>
        <v>135663540</v>
      </c>
      <c r="E93" s="58">
        <v>0</v>
      </c>
      <c r="F93" s="58">
        <f>191155640-I93</f>
        <v>135663540</v>
      </c>
      <c r="G93" s="55">
        <f t="shared" ref="G93:G95" si="158">+H93+I93</f>
        <v>55492100</v>
      </c>
      <c r="H93" s="58">
        <v>0</v>
      </c>
      <c r="I93" s="58">
        <v>55492100</v>
      </c>
      <c r="J93" s="55">
        <f t="shared" ref="J93:J95" si="159">+K93+N93</f>
        <v>21310860</v>
      </c>
      <c r="K93" s="55">
        <f t="shared" ref="K93:K95" si="160">+L93+M93</f>
        <v>21310860</v>
      </c>
      <c r="L93" s="58">
        <v>0</v>
      </c>
      <c r="M93" s="58">
        <v>21310860</v>
      </c>
      <c r="N93" s="55">
        <f t="shared" ref="N93:N95" si="161">+O93+P93</f>
        <v>0</v>
      </c>
      <c r="O93" s="58">
        <v>0</v>
      </c>
      <c r="P93" s="58">
        <v>0</v>
      </c>
    </row>
    <row r="94" spans="1:16" ht="47.25" x14ac:dyDescent="0.25">
      <c r="A94" s="116"/>
      <c r="B94" s="116" t="s">
        <v>76</v>
      </c>
      <c r="C94" s="55">
        <f t="shared" si="156"/>
        <v>28834</v>
      </c>
      <c r="D94" s="55">
        <f t="shared" si="157"/>
        <v>28834</v>
      </c>
      <c r="E94" s="58">
        <v>0</v>
      </c>
      <c r="F94" s="58">
        <v>28834</v>
      </c>
      <c r="G94" s="55">
        <f t="shared" si="158"/>
        <v>0</v>
      </c>
      <c r="H94" s="58"/>
      <c r="I94" s="58"/>
      <c r="J94" s="55">
        <f t="shared" si="159"/>
        <v>2692</v>
      </c>
      <c r="K94" s="55">
        <f t="shared" si="160"/>
        <v>2692</v>
      </c>
      <c r="L94" s="58"/>
      <c r="M94" s="58">
        <v>2692</v>
      </c>
      <c r="N94" s="55">
        <f t="shared" si="161"/>
        <v>0</v>
      </c>
      <c r="O94" s="58">
        <v>0</v>
      </c>
      <c r="P94" s="58">
        <v>0</v>
      </c>
    </row>
    <row r="95" spans="1:16" ht="78.75" x14ac:dyDescent="0.25">
      <c r="A95" s="116"/>
      <c r="B95" s="116" t="s">
        <v>77</v>
      </c>
      <c r="C95" s="55">
        <f t="shared" si="156"/>
        <v>47619</v>
      </c>
      <c r="D95" s="55">
        <f t="shared" si="157"/>
        <v>47619</v>
      </c>
      <c r="E95" s="58">
        <v>0</v>
      </c>
      <c r="F95" s="58">
        <v>47619</v>
      </c>
      <c r="G95" s="55">
        <f t="shared" si="158"/>
        <v>0</v>
      </c>
      <c r="H95" s="58"/>
      <c r="I95" s="58"/>
      <c r="J95" s="55">
        <f t="shared" si="159"/>
        <v>2988</v>
      </c>
      <c r="K95" s="55">
        <f t="shared" si="160"/>
        <v>2988</v>
      </c>
      <c r="L95" s="58"/>
      <c r="M95" s="58">
        <v>2988</v>
      </c>
      <c r="N95" s="55">
        <f t="shared" si="161"/>
        <v>0</v>
      </c>
      <c r="O95" s="58"/>
      <c r="P95" s="58"/>
    </row>
    <row r="96" spans="1:16" s="156" customFormat="1" ht="78.75" x14ac:dyDescent="0.25">
      <c r="A96" s="117"/>
      <c r="B96" s="117" t="s">
        <v>79</v>
      </c>
      <c r="C96" s="62">
        <f t="shared" ref="C96" si="162">+C97+C98</f>
        <v>4827930</v>
      </c>
      <c r="D96" s="62">
        <f t="shared" ref="D96:J96" si="163">+D97+D98</f>
        <v>4580858</v>
      </c>
      <c r="E96" s="62">
        <f t="shared" si="163"/>
        <v>0</v>
      </c>
      <c r="F96" s="62">
        <f t="shared" si="163"/>
        <v>4580858</v>
      </c>
      <c r="G96" s="62">
        <f t="shared" ref="G96:I96" si="164">+G97+G98</f>
        <v>247072</v>
      </c>
      <c r="H96" s="62">
        <f t="shared" si="164"/>
        <v>0</v>
      </c>
      <c r="I96" s="62">
        <f t="shared" si="164"/>
        <v>247072</v>
      </c>
      <c r="J96" s="62">
        <f t="shared" si="163"/>
        <v>2516420</v>
      </c>
      <c r="K96" s="62">
        <f t="shared" ref="K96:P96" si="165">+K97+K98</f>
        <v>2516420</v>
      </c>
      <c r="L96" s="62">
        <f t="shared" si="165"/>
        <v>0</v>
      </c>
      <c r="M96" s="62">
        <f t="shared" si="165"/>
        <v>2516420</v>
      </c>
      <c r="N96" s="62">
        <f t="shared" si="165"/>
        <v>0</v>
      </c>
      <c r="O96" s="62">
        <f t="shared" si="165"/>
        <v>0</v>
      </c>
      <c r="P96" s="62">
        <f t="shared" si="165"/>
        <v>0</v>
      </c>
    </row>
    <row r="97" spans="1:16" s="156" customFormat="1" x14ac:dyDescent="0.25">
      <c r="A97" s="45"/>
      <c r="B97" s="45" t="s">
        <v>75</v>
      </c>
      <c r="C97" s="55">
        <f t="shared" ref="C97:C98" si="166">+D97+G97</f>
        <v>4827930</v>
      </c>
      <c r="D97" s="55">
        <f t="shared" ref="D97:D98" si="167">+E97+F97</f>
        <v>4580858</v>
      </c>
      <c r="E97" s="58">
        <v>0</v>
      </c>
      <c r="F97" s="58">
        <f>4827930-I97</f>
        <v>4580858</v>
      </c>
      <c r="G97" s="55">
        <f t="shared" ref="G97:G98" si="168">+H97+I97</f>
        <v>247072</v>
      </c>
      <c r="H97" s="58"/>
      <c r="I97" s="58">
        <v>247072</v>
      </c>
      <c r="J97" s="55">
        <f t="shared" ref="J97:J98" si="169">+K97+N97</f>
        <v>2516420</v>
      </c>
      <c r="K97" s="55">
        <f t="shared" ref="K97:K98" si="170">+L97+M97</f>
        <v>2516420</v>
      </c>
      <c r="L97" s="58">
        <v>0</v>
      </c>
      <c r="M97" s="58">
        <v>2516420</v>
      </c>
      <c r="N97" s="55">
        <f t="shared" ref="N97:N98" si="171">+O97+P97</f>
        <v>0</v>
      </c>
      <c r="O97" s="58"/>
      <c r="P97" s="58"/>
    </row>
    <row r="98" spans="1:16" s="156" customFormat="1" ht="78.75" x14ac:dyDescent="0.25">
      <c r="A98" s="116"/>
      <c r="B98" s="116" t="s">
        <v>77</v>
      </c>
      <c r="C98" s="55">
        <f t="shared" si="166"/>
        <v>0</v>
      </c>
      <c r="D98" s="55">
        <f t="shared" si="167"/>
        <v>0</v>
      </c>
      <c r="E98" s="58">
        <v>0</v>
      </c>
      <c r="F98" s="58">
        <v>0</v>
      </c>
      <c r="G98" s="55">
        <f t="shared" si="168"/>
        <v>0</v>
      </c>
      <c r="H98" s="58"/>
      <c r="I98" s="58"/>
      <c r="J98" s="55">
        <f t="shared" si="169"/>
        <v>0</v>
      </c>
      <c r="K98" s="55">
        <f t="shared" si="170"/>
        <v>0</v>
      </c>
      <c r="L98" s="58">
        <v>0</v>
      </c>
      <c r="M98" s="58">
        <v>0</v>
      </c>
      <c r="N98" s="55">
        <f t="shared" si="171"/>
        <v>0</v>
      </c>
      <c r="O98" s="58">
        <v>0</v>
      </c>
      <c r="P98" s="58">
        <v>0</v>
      </c>
    </row>
    <row r="99" spans="1:16" s="153" customFormat="1" x14ac:dyDescent="0.25">
      <c r="A99" s="46"/>
      <c r="B99" s="46" t="s">
        <v>395</v>
      </c>
      <c r="C99" s="61">
        <f t="shared" ref="C99" si="172">C100+C101</f>
        <v>0</v>
      </c>
      <c r="D99" s="61">
        <f t="shared" ref="D99:J99" si="173">D100+D101</f>
        <v>0</v>
      </c>
      <c r="E99" s="65">
        <f t="shared" si="173"/>
        <v>0</v>
      </c>
      <c r="F99" s="65">
        <f t="shared" si="173"/>
        <v>0</v>
      </c>
      <c r="G99" s="61">
        <f t="shared" ref="G99:I99" si="174">G100+G101</f>
        <v>0</v>
      </c>
      <c r="H99" s="65">
        <f t="shared" si="174"/>
        <v>0</v>
      </c>
      <c r="I99" s="65">
        <f t="shared" si="174"/>
        <v>0</v>
      </c>
      <c r="J99" s="61">
        <f t="shared" si="173"/>
        <v>0</v>
      </c>
      <c r="K99" s="61">
        <f t="shared" ref="K99:P99" si="175">K100+K101</f>
        <v>0</v>
      </c>
      <c r="L99" s="65">
        <f t="shared" si="175"/>
        <v>0</v>
      </c>
      <c r="M99" s="65">
        <f t="shared" si="175"/>
        <v>0</v>
      </c>
      <c r="N99" s="61">
        <f t="shared" si="175"/>
        <v>0</v>
      </c>
      <c r="O99" s="65">
        <f t="shared" si="175"/>
        <v>0</v>
      </c>
      <c r="P99" s="65">
        <f t="shared" si="175"/>
        <v>0</v>
      </c>
    </row>
    <row r="100" spans="1:16" x14ac:dyDescent="0.25">
      <c r="A100" s="45"/>
      <c r="B100" s="45" t="s">
        <v>75</v>
      </c>
      <c r="C100" s="55">
        <f t="shared" ref="C100:C101" si="176">+D100+G100</f>
        <v>0</v>
      </c>
      <c r="D100" s="55">
        <f t="shared" ref="D100:D101" si="177">+E100+F100</f>
        <v>0</v>
      </c>
      <c r="E100" s="58"/>
      <c r="F100" s="58"/>
      <c r="G100" s="55">
        <f t="shared" ref="G100:G101" si="178">+H100+I100</f>
        <v>0</v>
      </c>
      <c r="H100" s="58"/>
      <c r="I100" s="58"/>
      <c r="J100" s="55">
        <f t="shared" ref="J100:J101" si="179">+K100+N100</f>
        <v>0</v>
      </c>
      <c r="K100" s="55">
        <f t="shared" ref="K100:K101" si="180">+L100+M100</f>
        <v>0</v>
      </c>
      <c r="L100" s="58"/>
      <c r="M100" s="58"/>
      <c r="N100" s="55">
        <f t="shared" ref="N100:N101" si="181">+O100+P100</f>
        <v>0</v>
      </c>
      <c r="O100" s="58"/>
      <c r="P100" s="58"/>
    </row>
    <row r="101" spans="1:16" ht="78.75" x14ac:dyDescent="0.25">
      <c r="A101" s="116"/>
      <c r="B101" s="116" t="s">
        <v>77</v>
      </c>
      <c r="C101" s="55">
        <f t="shared" si="176"/>
        <v>0</v>
      </c>
      <c r="D101" s="55">
        <f t="shared" si="177"/>
        <v>0</v>
      </c>
      <c r="E101" s="58"/>
      <c r="F101" s="58"/>
      <c r="G101" s="55">
        <f t="shared" si="178"/>
        <v>0</v>
      </c>
      <c r="H101" s="58"/>
      <c r="I101" s="58"/>
      <c r="J101" s="55">
        <f t="shared" si="179"/>
        <v>0</v>
      </c>
      <c r="K101" s="55">
        <f t="shared" si="180"/>
        <v>0</v>
      </c>
      <c r="L101" s="58"/>
      <c r="M101" s="58"/>
      <c r="N101" s="55">
        <f t="shared" si="181"/>
        <v>0</v>
      </c>
      <c r="O101" s="58"/>
      <c r="P101" s="58"/>
    </row>
    <row r="102" spans="1:16" s="153" customFormat="1" x14ac:dyDescent="0.25">
      <c r="A102" s="46"/>
      <c r="B102" s="46" t="s">
        <v>80</v>
      </c>
      <c r="C102" s="61">
        <f t="shared" ref="C102" si="182">C103+C106+C107</f>
        <v>40470660</v>
      </c>
      <c r="D102" s="61">
        <f t="shared" ref="D102:J102" si="183">D103+D106+D107</f>
        <v>31443415</v>
      </c>
      <c r="E102" s="65">
        <f t="shared" si="183"/>
        <v>0</v>
      </c>
      <c r="F102" s="65">
        <f t="shared" si="183"/>
        <v>31443415</v>
      </c>
      <c r="G102" s="61">
        <f t="shared" ref="G102:I102" si="184">G103+G106+G107</f>
        <v>9027245</v>
      </c>
      <c r="H102" s="65">
        <f t="shared" si="184"/>
        <v>0</v>
      </c>
      <c r="I102" s="65">
        <f t="shared" si="184"/>
        <v>9027245</v>
      </c>
      <c r="J102" s="61">
        <f t="shared" si="183"/>
        <v>4116192</v>
      </c>
      <c r="K102" s="61">
        <f t="shared" ref="K102:P102" si="185">K103+K106+K107</f>
        <v>4116192</v>
      </c>
      <c r="L102" s="65">
        <f t="shared" si="185"/>
        <v>0</v>
      </c>
      <c r="M102" s="65">
        <f t="shared" si="185"/>
        <v>4116192</v>
      </c>
      <c r="N102" s="61">
        <f t="shared" si="185"/>
        <v>0</v>
      </c>
      <c r="O102" s="65">
        <f t="shared" si="185"/>
        <v>0</v>
      </c>
      <c r="P102" s="65">
        <f t="shared" si="185"/>
        <v>0</v>
      </c>
    </row>
    <row r="103" spans="1:16" s="153" customFormat="1" ht="31.5" x14ac:dyDescent="0.25">
      <c r="A103" s="112"/>
      <c r="B103" s="112" t="s">
        <v>221</v>
      </c>
      <c r="C103" s="61">
        <f t="shared" ref="C103" si="186">+C104+C105</f>
        <v>37858530</v>
      </c>
      <c r="D103" s="61">
        <f t="shared" ref="D103:J103" si="187">+D104+D105</f>
        <v>29258067</v>
      </c>
      <c r="E103" s="65">
        <f t="shared" si="187"/>
        <v>0</v>
      </c>
      <c r="F103" s="65">
        <f t="shared" si="187"/>
        <v>29258067</v>
      </c>
      <c r="G103" s="61">
        <f t="shared" ref="G103:I103" si="188">+G104+G105</f>
        <v>8600463</v>
      </c>
      <c r="H103" s="65">
        <f t="shared" si="188"/>
        <v>0</v>
      </c>
      <c r="I103" s="65">
        <f t="shared" si="188"/>
        <v>8600463</v>
      </c>
      <c r="J103" s="61">
        <f t="shared" si="187"/>
        <v>3747590</v>
      </c>
      <c r="K103" s="61">
        <f t="shared" ref="K103:P103" si="189">+K104+K105</f>
        <v>3747590</v>
      </c>
      <c r="L103" s="65">
        <f t="shared" si="189"/>
        <v>0</v>
      </c>
      <c r="M103" s="65">
        <f t="shared" si="189"/>
        <v>3747590</v>
      </c>
      <c r="N103" s="61">
        <f t="shared" si="189"/>
        <v>0</v>
      </c>
      <c r="O103" s="65">
        <f t="shared" si="189"/>
        <v>0</v>
      </c>
      <c r="P103" s="65">
        <f t="shared" si="189"/>
        <v>0</v>
      </c>
    </row>
    <row r="104" spans="1:16" s="153" customFormat="1" x14ac:dyDescent="0.25">
      <c r="A104" s="116"/>
      <c r="B104" s="116" t="s">
        <v>81</v>
      </c>
      <c r="C104" s="55">
        <f t="shared" ref="C104:C110" si="190">+D104+G104</f>
        <v>37849300</v>
      </c>
      <c r="D104" s="55">
        <f t="shared" ref="D104:D107" si="191">+E104+F104</f>
        <v>29248837</v>
      </c>
      <c r="E104" s="58"/>
      <c r="F104" s="58">
        <f>37849300-G104</f>
        <v>29248837</v>
      </c>
      <c r="G104" s="55">
        <f t="shared" ref="G104:G107" si="192">+H104+I104</f>
        <v>8600463</v>
      </c>
      <c r="H104" s="58"/>
      <c r="I104" s="58">
        <v>8600463</v>
      </c>
      <c r="J104" s="55">
        <f t="shared" ref="J104:J110" si="193">+K104+N104</f>
        <v>3747284</v>
      </c>
      <c r="K104" s="55">
        <f t="shared" ref="K104:K107" si="194">+L104+M104</f>
        <v>3747284</v>
      </c>
      <c r="L104" s="58">
        <v>0</v>
      </c>
      <c r="M104" s="58">
        <v>3747284</v>
      </c>
      <c r="N104" s="55">
        <f t="shared" ref="N104:N107" si="195">+O104+P104</f>
        <v>0</v>
      </c>
      <c r="O104" s="58"/>
      <c r="P104" s="58"/>
    </row>
    <row r="105" spans="1:16" ht="78.75" x14ac:dyDescent="0.25">
      <c r="A105" s="116"/>
      <c r="B105" s="116" t="s">
        <v>77</v>
      </c>
      <c r="C105" s="55">
        <f t="shared" si="190"/>
        <v>9230</v>
      </c>
      <c r="D105" s="55">
        <f t="shared" si="191"/>
        <v>9230</v>
      </c>
      <c r="E105" s="58">
        <v>0</v>
      </c>
      <c r="F105" s="58">
        <v>9230</v>
      </c>
      <c r="G105" s="55">
        <f t="shared" si="192"/>
        <v>0</v>
      </c>
      <c r="H105" s="58">
        <v>0</v>
      </c>
      <c r="I105" s="58">
        <v>0</v>
      </c>
      <c r="J105" s="55">
        <f t="shared" si="193"/>
        <v>306</v>
      </c>
      <c r="K105" s="55">
        <f t="shared" si="194"/>
        <v>306</v>
      </c>
      <c r="L105" s="58">
        <v>0</v>
      </c>
      <c r="M105" s="58">
        <v>306</v>
      </c>
      <c r="N105" s="55">
        <f t="shared" si="195"/>
        <v>0</v>
      </c>
      <c r="O105" s="58"/>
      <c r="P105" s="58"/>
    </row>
    <row r="106" spans="1:16" ht="63" x14ac:dyDescent="0.25">
      <c r="A106" s="112"/>
      <c r="B106" s="112" t="s">
        <v>82</v>
      </c>
      <c r="C106" s="55">
        <f t="shared" si="190"/>
        <v>1479180</v>
      </c>
      <c r="D106" s="55">
        <f t="shared" si="191"/>
        <v>1145196</v>
      </c>
      <c r="E106" s="58">
        <v>0</v>
      </c>
      <c r="F106" s="58">
        <f>1479180-G106</f>
        <v>1145196</v>
      </c>
      <c r="G106" s="55">
        <f t="shared" si="192"/>
        <v>333984</v>
      </c>
      <c r="H106" s="58"/>
      <c r="I106" s="58">
        <v>333984</v>
      </c>
      <c r="J106" s="55">
        <f t="shared" si="193"/>
        <v>135968</v>
      </c>
      <c r="K106" s="55">
        <f t="shared" si="194"/>
        <v>135968</v>
      </c>
      <c r="L106" s="58">
        <v>0</v>
      </c>
      <c r="M106" s="58">
        <v>135968</v>
      </c>
      <c r="N106" s="55">
        <f t="shared" si="195"/>
        <v>0</v>
      </c>
      <c r="O106" s="58"/>
      <c r="P106" s="58"/>
    </row>
    <row r="107" spans="1:16" s="153" customFormat="1" ht="63" x14ac:dyDescent="0.25">
      <c r="A107" s="112"/>
      <c r="B107" s="112" t="s">
        <v>83</v>
      </c>
      <c r="C107" s="55">
        <f t="shared" si="190"/>
        <v>1132950</v>
      </c>
      <c r="D107" s="55">
        <f t="shared" si="191"/>
        <v>1040152</v>
      </c>
      <c r="E107" s="58">
        <v>0</v>
      </c>
      <c r="F107" s="58">
        <f>1132950-G107</f>
        <v>1040152</v>
      </c>
      <c r="G107" s="55">
        <f t="shared" si="192"/>
        <v>92798</v>
      </c>
      <c r="H107" s="58"/>
      <c r="I107" s="58">
        <v>92798</v>
      </c>
      <c r="J107" s="55">
        <f t="shared" si="193"/>
        <v>232634</v>
      </c>
      <c r="K107" s="55">
        <f t="shared" si="194"/>
        <v>232634</v>
      </c>
      <c r="L107" s="58">
        <v>0</v>
      </c>
      <c r="M107" s="58">
        <v>232634</v>
      </c>
      <c r="N107" s="55">
        <f t="shared" si="195"/>
        <v>0</v>
      </c>
      <c r="O107" s="58">
        <v>0</v>
      </c>
      <c r="P107" s="58"/>
    </row>
    <row r="108" spans="1:16" s="156" customFormat="1" x14ac:dyDescent="0.25">
      <c r="A108" s="116"/>
      <c r="B108" s="116" t="s">
        <v>78</v>
      </c>
      <c r="C108" s="55">
        <f>+D108+G108</f>
        <v>276960</v>
      </c>
      <c r="D108" s="55">
        <f>+E108+F108</f>
        <v>276960</v>
      </c>
      <c r="E108" s="58">
        <v>276960</v>
      </c>
      <c r="F108" s="58">
        <v>0</v>
      </c>
      <c r="G108" s="55">
        <f>+H108+I108</f>
        <v>0</v>
      </c>
      <c r="H108" s="58"/>
      <c r="I108" s="58"/>
      <c r="J108" s="55">
        <f>+K108+N108</f>
        <v>25000</v>
      </c>
      <c r="K108" s="55">
        <f>+L108+M108</f>
        <v>25000</v>
      </c>
      <c r="L108" s="58">
        <v>25000</v>
      </c>
      <c r="M108" s="58"/>
      <c r="N108" s="55">
        <f>+O108+P108</f>
        <v>0</v>
      </c>
      <c r="O108" s="58"/>
      <c r="P108" s="58"/>
    </row>
    <row r="109" spans="1:16" s="154" customFormat="1" ht="63" x14ac:dyDescent="0.25">
      <c r="A109" s="116"/>
      <c r="B109" s="116" t="s">
        <v>394</v>
      </c>
      <c r="C109" s="55">
        <f>+D109+G109</f>
        <v>3159920</v>
      </c>
      <c r="D109" s="55">
        <f>+E109+F109</f>
        <v>2887715</v>
      </c>
      <c r="E109" s="58"/>
      <c r="F109" s="58">
        <f>3159920-G109</f>
        <v>2887715</v>
      </c>
      <c r="G109" s="55">
        <f>+H109+I109</f>
        <v>272205</v>
      </c>
      <c r="H109" s="58"/>
      <c r="I109" s="58">
        <v>272205</v>
      </c>
      <c r="J109" s="55">
        <f>+K109+N109</f>
        <v>302697</v>
      </c>
      <c r="K109" s="55">
        <f>+L109+M109</f>
        <v>302697</v>
      </c>
      <c r="L109" s="58">
        <v>0</v>
      </c>
      <c r="M109" s="58">
        <v>302697</v>
      </c>
      <c r="N109" s="55">
        <f>+O109+P109</f>
        <v>0</v>
      </c>
      <c r="O109" s="58"/>
      <c r="P109" s="58"/>
    </row>
    <row r="110" spans="1:16" s="153" customFormat="1" ht="31.5" customHeight="1" x14ac:dyDescent="0.25">
      <c r="A110" s="143"/>
      <c r="B110" s="115" t="s">
        <v>391</v>
      </c>
      <c r="C110" s="55">
        <f t="shared" si="190"/>
        <v>-202235</v>
      </c>
      <c r="D110" s="58">
        <v>0</v>
      </c>
      <c r="E110" s="58" t="s">
        <v>614</v>
      </c>
      <c r="F110" s="58" t="s">
        <v>614</v>
      </c>
      <c r="G110" s="58">
        <v>-202235</v>
      </c>
      <c r="H110" s="58" t="s">
        <v>614</v>
      </c>
      <c r="I110" s="58" t="s">
        <v>614</v>
      </c>
      <c r="J110" s="55">
        <f t="shared" si="193"/>
        <v>-176251</v>
      </c>
      <c r="K110" s="58">
        <v>0</v>
      </c>
      <c r="L110" s="58" t="s">
        <v>614</v>
      </c>
      <c r="M110" s="58" t="s">
        <v>614</v>
      </c>
      <c r="N110" s="58">
        <v>-176251</v>
      </c>
      <c r="O110" s="58" t="s">
        <v>614</v>
      </c>
      <c r="P110" s="58" t="s">
        <v>614</v>
      </c>
    </row>
    <row r="111" spans="1:16" s="153" customFormat="1" ht="31.5" x14ac:dyDescent="0.25">
      <c r="A111" s="46" t="s">
        <v>304</v>
      </c>
      <c r="B111" s="46" t="s">
        <v>84</v>
      </c>
      <c r="C111" s="61">
        <f>C112+C115+C118+C121+C124+C127+C130+C133+C138</f>
        <v>353325044</v>
      </c>
      <c r="D111" s="61">
        <f t="shared" ref="D111:J111" si="196">D112+D115+D118+D121+D124+D127+D130+D133+D138</f>
        <v>246338210</v>
      </c>
      <c r="E111" s="61">
        <f t="shared" si="196"/>
        <v>53897025</v>
      </c>
      <c r="F111" s="61">
        <f t="shared" si="196"/>
        <v>192441185</v>
      </c>
      <c r="G111" s="61">
        <f t="shared" ref="G111:I111" si="197">G112+G115+G118+G121+G124+G127+G130+G133+G138</f>
        <v>106986834</v>
      </c>
      <c r="H111" s="61">
        <f t="shared" si="197"/>
        <v>27361589</v>
      </c>
      <c r="I111" s="61">
        <f t="shared" si="197"/>
        <v>79625245</v>
      </c>
      <c r="J111" s="61">
        <f t="shared" si="196"/>
        <v>34406612</v>
      </c>
      <c r="K111" s="61">
        <f t="shared" ref="K111:P111" si="198">K112+K115+K118+K121+K124+K127+K130+K133+K138</f>
        <v>34406612</v>
      </c>
      <c r="L111" s="61">
        <f t="shared" si="198"/>
        <v>7292107</v>
      </c>
      <c r="M111" s="61">
        <f t="shared" si="198"/>
        <v>27114505</v>
      </c>
      <c r="N111" s="61">
        <f t="shared" si="198"/>
        <v>0</v>
      </c>
      <c r="O111" s="61">
        <f t="shared" si="198"/>
        <v>0</v>
      </c>
      <c r="P111" s="61">
        <f t="shared" si="198"/>
        <v>0</v>
      </c>
    </row>
    <row r="112" spans="1:16" s="153" customFormat="1" x14ac:dyDescent="0.25">
      <c r="A112" s="118"/>
      <c r="B112" s="46" t="s">
        <v>376</v>
      </c>
      <c r="C112" s="49">
        <f t="shared" ref="C112" si="199">C113+C114</f>
        <v>28259940</v>
      </c>
      <c r="D112" s="49">
        <f t="shared" ref="D112:J112" si="200">D113+D114</f>
        <v>19694760</v>
      </c>
      <c r="E112" s="48">
        <f t="shared" si="200"/>
        <v>12569835</v>
      </c>
      <c r="F112" s="48">
        <f t="shared" si="200"/>
        <v>7124925</v>
      </c>
      <c r="G112" s="49">
        <f t="shared" ref="G112:I112" si="201">G113+G114</f>
        <v>8565180</v>
      </c>
      <c r="H112" s="48">
        <f t="shared" si="201"/>
        <v>6044617</v>
      </c>
      <c r="I112" s="48">
        <f t="shared" si="201"/>
        <v>2520563</v>
      </c>
      <c r="J112" s="49">
        <f t="shared" si="200"/>
        <v>3487220</v>
      </c>
      <c r="K112" s="49">
        <f t="shared" ref="K112:P112" si="202">K113+K114</f>
        <v>3487220</v>
      </c>
      <c r="L112" s="48">
        <f t="shared" si="202"/>
        <v>2638411</v>
      </c>
      <c r="M112" s="48">
        <f t="shared" si="202"/>
        <v>848809</v>
      </c>
      <c r="N112" s="49">
        <f t="shared" si="202"/>
        <v>0</v>
      </c>
      <c r="O112" s="48">
        <f t="shared" si="202"/>
        <v>0</v>
      </c>
      <c r="P112" s="48">
        <f t="shared" si="202"/>
        <v>0</v>
      </c>
    </row>
    <row r="113" spans="1:16" s="153" customFormat="1" x14ac:dyDescent="0.25">
      <c r="A113" s="116"/>
      <c r="B113" s="45" t="s">
        <v>75</v>
      </c>
      <c r="C113" s="55">
        <f t="shared" ref="C113:C114" si="203">+D113+G113</f>
        <v>28259940</v>
      </c>
      <c r="D113" s="55">
        <f t="shared" ref="D113:D114" si="204">+E113+F113</f>
        <v>19694760</v>
      </c>
      <c r="E113" s="58">
        <f>18614452-H113</f>
        <v>12569835</v>
      </c>
      <c r="F113" s="58">
        <f>9645488-I113</f>
        <v>7124925</v>
      </c>
      <c r="G113" s="55">
        <f t="shared" ref="G113:G114" si="205">+H113+I113</f>
        <v>8565180</v>
      </c>
      <c r="H113" s="58">
        <v>6044617</v>
      </c>
      <c r="I113" s="58">
        <v>2520563</v>
      </c>
      <c r="J113" s="55">
        <f t="shared" ref="J113:J114" si="206">+K113+N113</f>
        <v>3487220</v>
      </c>
      <c r="K113" s="55">
        <f t="shared" ref="K113:K114" si="207">+L113+M113</f>
        <v>3487220</v>
      </c>
      <c r="L113" s="58">
        <v>2638411</v>
      </c>
      <c r="M113" s="58">
        <v>848809</v>
      </c>
      <c r="N113" s="55">
        <f t="shared" ref="N113:N114" si="208">+O113+P113</f>
        <v>0</v>
      </c>
      <c r="O113" s="58"/>
      <c r="P113" s="58"/>
    </row>
    <row r="114" spans="1:16" s="153" customFormat="1" ht="78.75" x14ac:dyDescent="0.25">
      <c r="A114" s="116"/>
      <c r="B114" s="116" t="s">
        <v>77</v>
      </c>
      <c r="C114" s="55">
        <f t="shared" si="203"/>
        <v>0</v>
      </c>
      <c r="D114" s="55">
        <f t="shared" si="204"/>
        <v>0</v>
      </c>
      <c r="E114" s="58"/>
      <c r="F114" s="58"/>
      <c r="G114" s="55">
        <f t="shared" si="205"/>
        <v>0</v>
      </c>
      <c r="H114" s="58"/>
      <c r="I114" s="58"/>
      <c r="J114" s="55">
        <f t="shared" si="206"/>
        <v>0</v>
      </c>
      <c r="K114" s="55">
        <f t="shared" si="207"/>
        <v>0</v>
      </c>
      <c r="L114" s="58"/>
      <c r="M114" s="58"/>
      <c r="N114" s="55">
        <f t="shared" si="208"/>
        <v>0</v>
      </c>
      <c r="O114" s="58"/>
      <c r="P114" s="58"/>
    </row>
    <row r="115" spans="1:16" s="153" customFormat="1" x14ac:dyDescent="0.25">
      <c r="A115" s="118"/>
      <c r="B115" s="46" t="s">
        <v>358</v>
      </c>
      <c r="C115" s="49">
        <f t="shared" ref="C115" si="209">C116+C117</f>
        <v>0</v>
      </c>
      <c r="D115" s="49">
        <f t="shared" ref="D115:J115" si="210">D116+D117</f>
        <v>0</v>
      </c>
      <c r="E115" s="48">
        <f t="shared" si="210"/>
        <v>0</v>
      </c>
      <c r="F115" s="48">
        <f t="shared" si="210"/>
        <v>0</v>
      </c>
      <c r="G115" s="49">
        <f t="shared" ref="G115:I115" si="211">G116+G117</f>
        <v>0</v>
      </c>
      <c r="H115" s="48">
        <f t="shared" si="211"/>
        <v>0</v>
      </c>
      <c r="I115" s="48">
        <f t="shared" si="211"/>
        <v>0</v>
      </c>
      <c r="J115" s="49">
        <f t="shared" si="210"/>
        <v>0</v>
      </c>
      <c r="K115" s="49">
        <f t="shared" ref="K115:P115" si="212">K116+K117</f>
        <v>0</v>
      </c>
      <c r="L115" s="48">
        <f t="shared" si="212"/>
        <v>0</v>
      </c>
      <c r="M115" s="48">
        <f t="shared" si="212"/>
        <v>0</v>
      </c>
      <c r="N115" s="49">
        <f t="shared" si="212"/>
        <v>0</v>
      </c>
      <c r="O115" s="48">
        <f t="shared" si="212"/>
        <v>0</v>
      </c>
      <c r="P115" s="48">
        <f t="shared" si="212"/>
        <v>0</v>
      </c>
    </row>
    <row r="116" spans="1:16" s="153" customFormat="1" x14ac:dyDescent="0.25">
      <c r="A116" s="116"/>
      <c r="B116" s="45" t="s">
        <v>75</v>
      </c>
      <c r="C116" s="55">
        <f t="shared" ref="C116:C117" si="213">+D116+G116</f>
        <v>0</v>
      </c>
      <c r="D116" s="55">
        <f t="shared" ref="D116:D117" si="214">+E116+F116</f>
        <v>0</v>
      </c>
      <c r="E116" s="58">
        <v>0</v>
      </c>
      <c r="F116" s="58">
        <v>0</v>
      </c>
      <c r="G116" s="55">
        <f t="shared" ref="G116:G117" si="215">+H116+I116</f>
        <v>0</v>
      </c>
      <c r="H116" s="58"/>
      <c r="I116" s="58"/>
      <c r="J116" s="55">
        <f t="shared" ref="J116:J117" si="216">+K116+N116</f>
        <v>0</v>
      </c>
      <c r="K116" s="55">
        <f t="shared" ref="K116:K117" si="217">+L116+M116</f>
        <v>0</v>
      </c>
      <c r="L116" s="58">
        <v>0</v>
      </c>
      <c r="M116" s="58">
        <v>0</v>
      </c>
      <c r="N116" s="55">
        <f t="shared" ref="N116:N117" si="218">+O116+P116</f>
        <v>0</v>
      </c>
      <c r="O116" s="58"/>
      <c r="P116" s="58"/>
    </row>
    <row r="117" spans="1:16" s="153" customFormat="1" ht="78.75" x14ac:dyDescent="0.25">
      <c r="A117" s="116"/>
      <c r="B117" s="45" t="s">
        <v>77</v>
      </c>
      <c r="C117" s="55">
        <f t="shared" si="213"/>
        <v>0</v>
      </c>
      <c r="D117" s="55">
        <f t="shared" si="214"/>
        <v>0</v>
      </c>
      <c r="E117" s="58">
        <v>0</v>
      </c>
      <c r="F117" s="58">
        <v>0</v>
      </c>
      <c r="G117" s="55">
        <f t="shared" si="215"/>
        <v>0</v>
      </c>
      <c r="H117" s="58"/>
      <c r="I117" s="58"/>
      <c r="J117" s="55">
        <f t="shared" si="216"/>
        <v>0</v>
      </c>
      <c r="K117" s="55">
        <f t="shared" si="217"/>
        <v>0</v>
      </c>
      <c r="L117" s="58">
        <v>0</v>
      </c>
      <c r="M117" s="58">
        <v>0</v>
      </c>
      <c r="N117" s="55">
        <f t="shared" si="218"/>
        <v>0</v>
      </c>
      <c r="O117" s="58"/>
      <c r="P117" s="58"/>
    </row>
    <row r="118" spans="1:16" s="153" customFormat="1" ht="31.5" x14ac:dyDescent="0.25">
      <c r="A118" s="118"/>
      <c r="B118" s="46" t="s">
        <v>359</v>
      </c>
      <c r="C118" s="49">
        <f t="shared" ref="C118" si="219">C119+C120</f>
        <v>11109324</v>
      </c>
      <c r="D118" s="49">
        <f t="shared" ref="D118:J118" si="220">D119+D120</f>
        <v>6319525</v>
      </c>
      <c r="E118" s="48">
        <f t="shared" si="220"/>
        <v>6319525</v>
      </c>
      <c r="F118" s="48">
        <f t="shared" si="220"/>
        <v>0</v>
      </c>
      <c r="G118" s="49">
        <f t="shared" ref="G118:I118" si="221">G119+G120</f>
        <v>4789799</v>
      </c>
      <c r="H118" s="48">
        <f t="shared" si="221"/>
        <v>4789799</v>
      </c>
      <c r="I118" s="48">
        <f t="shared" si="221"/>
        <v>0</v>
      </c>
      <c r="J118" s="49">
        <f t="shared" si="220"/>
        <v>957294</v>
      </c>
      <c r="K118" s="49">
        <f t="shared" ref="K118:P118" si="222">K119+K120</f>
        <v>957294</v>
      </c>
      <c r="L118" s="48">
        <f t="shared" si="222"/>
        <v>957294</v>
      </c>
      <c r="M118" s="48">
        <f t="shared" si="222"/>
        <v>0</v>
      </c>
      <c r="N118" s="49">
        <f t="shared" si="222"/>
        <v>0</v>
      </c>
      <c r="O118" s="48">
        <f t="shared" si="222"/>
        <v>0</v>
      </c>
      <c r="P118" s="48">
        <f t="shared" si="222"/>
        <v>0</v>
      </c>
    </row>
    <row r="119" spans="1:16" s="153" customFormat="1" x14ac:dyDescent="0.25">
      <c r="A119" s="116"/>
      <c r="B119" s="45" t="s">
        <v>75</v>
      </c>
      <c r="C119" s="55">
        <f t="shared" ref="C119:C120" si="223">+D119+G119</f>
        <v>11109324</v>
      </c>
      <c r="D119" s="55">
        <f t="shared" ref="D119:D120" si="224">+E119+F119</f>
        <v>6319525</v>
      </c>
      <c r="E119" s="58">
        <f>11109324-H119</f>
        <v>6319525</v>
      </c>
      <c r="F119" s="58">
        <v>0</v>
      </c>
      <c r="G119" s="55">
        <f t="shared" ref="G119:G120" si="225">+H119+I119</f>
        <v>4789799</v>
      </c>
      <c r="H119" s="58">
        <v>4789799</v>
      </c>
      <c r="I119" s="58"/>
      <c r="J119" s="55">
        <f t="shared" ref="J119:J120" si="226">+K119+N119</f>
        <v>957294</v>
      </c>
      <c r="K119" s="55">
        <f t="shared" ref="K119:K120" si="227">+L119+M119</f>
        <v>957294</v>
      </c>
      <c r="L119" s="58">
        <v>957294</v>
      </c>
      <c r="M119" s="58">
        <v>0</v>
      </c>
      <c r="N119" s="55">
        <f t="shared" ref="N119:N120" si="228">+O119+P119</f>
        <v>0</v>
      </c>
      <c r="O119" s="58"/>
      <c r="P119" s="58"/>
    </row>
    <row r="120" spans="1:16" s="153" customFormat="1" ht="78.75" x14ac:dyDescent="0.25">
      <c r="A120" s="116"/>
      <c r="B120" s="45" t="s">
        <v>77</v>
      </c>
      <c r="C120" s="55">
        <f t="shared" si="223"/>
        <v>0</v>
      </c>
      <c r="D120" s="55">
        <f t="shared" si="224"/>
        <v>0</v>
      </c>
      <c r="E120" s="58">
        <v>0</v>
      </c>
      <c r="F120" s="58">
        <v>0</v>
      </c>
      <c r="G120" s="55">
        <f t="shared" si="225"/>
        <v>0</v>
      </c>
      <c r="H120" s="58"/>
      <c r="I120" s="58"/>
      <c r="J120" s="55">
        <f t="shared" si="226"/>
        <v>0</v>
      </c>
      <c r="K120" s="55">
        <f t="shared" si="227"/>
        <v>0</v>
      </c>
      <c r="L120" s="58">
        <v>0</v>
      </c>
      <c r="M120" s="58">
        <v>0</v>
      </c>
      <c r="N120" s="55">
        <f t="shared" si="228"/>
        <v>0</v>
      </c>
      <c r="O120" s="58"/>
      <c r="P120" s="58"/>
    </row>
    <row r="121" spans="1:16" s="153" customFormat="1" x14ac:dyDescent="0.25">
      <c r="A121" s="118"/>
      <c r="B121" s="46" t="s">
        <v>352</v>
      </c>
      <c r="C121" s="49">
        <f t="shared" ref="C121" si="229">C122+C123</f>
        <v>82866915</v>
      </c>
      <c r="D121" s="49">
        <f t="shared" ref="D121:J121" si="230">D122+D123</f>
        <v>58063427</v>
      </c>
      <c r="E121" s="48">
        <f t="shared" si="230"/>
        <v>27889</v>
      </c>
      <c r="F121" s="48">
        <f t="shared" si="230"/>
        <v>58035538</v>
      </c>
      <c r="G121" s="49">
        <f t="shared" ref="G121:I121" si="231">G122+G123</f>
        <v>24803488</v>
      </c>
      <c r="H121" s="48">
        <f t="shared" si="231"/>
        <v>13970</v>
      </c>
      <c r="I121" s="48">
        <f t="shared" si="231"/>
        <v>24789518</v>
      </c>
      <c r="J121" s="49">
        <f t="shared" si="230"/>
        <v>8350048</v>
      </c>
      <c r="K121" s="49">
        <f t="shared" ref="K121:P121" si="232">K122+K123</f>
        <v>8350048</v>
      </c>
      <c r="L121" s="48">
        <f t="shared" si="232"/>
        <v>6075</v>
      </c>
      <c r="M121" s="48">
        <f t="shared" si="232"/>
        <v>8343973</v>
      </c>
      <c r="N121" s="49">
        <f t="shared" si="232"/>
        <v>0</v>
      </c>
      <c r="O121" s="48">
        <f t="shared" si="232"/>
        <v>0</v>
      </c>
      <c r="P121" s="48">
        <f t="shared" si="232"/>
        <v>0</v>
      </c>
    </row>
    <row r="122" spans="1:16" s="153" customFormat="1" x14ac:dyDescent="0.25">
      <c r="A122" s="116"/>
      <c r="B122" s="45" t="s">
        <v>75</v>
      </c>
      <c r="C122" s="55">
        <f t="shared" ref="C122:C123" si="233">+D122+G122</f>
        <v>82742494</v>
      </c>
      <c r="D122" s="55">
        <f t="shared" ref="D122:D123" si="234">+E122+F122</f>
        <v>57939006</v>
      </c>
      <c r="E122" s="58">
        <f>41784-H122</f>
        <v>27814</v>
      </c>
      <c r="F122" s="58">
        <f>82700710-I122</f>
        <v>57911192</v>
      </c>
      <c r="G122" s="55">
        <f t="shared" ref="G122:G123" si="235">+H122+I122</f>
        <v>24803488</v>
      </c>
      <c r="H122" s="58">
        <v>13970</v>
      </c>
      <c r="I122" s="58">
        <v>24789518</v>
      </c>
      <c r="J122" s="55">
        <f t="shared" ref="J122:J123" si="236">+K122+N122</f>
        <v>8332315</v>
      </c>
      <c r="K122" s="55">
        <f t="shared" ref="K122:K123" si="237">+L122+M122</f>
        <v>8332315</v>
      </c>
      <c r="L122" s="58">
        <v>6076</v>
      </c>
      <c r="M122" s="58">
        <v>8326239</v>
      </c>
      <c r="N122" s="55">
        <f t="shared" ref="N122:N123" si="238">+O122+P122</f>
        <v>0</v>
      </c>
      <c r="O122" s="58"/>
      <c r="P122" s="58"/>
    </row>
    <row r="123" spans="1:16" s="153" customFormat="1" ht="78.75" x14ac:dyDescent="0.25">
      <c r="A123" s="116"/>
      <c r="B123" s="45" t="s">
        <v>77</v>
      </c>
      <c r="C123" s="55">
        <f t="shared" si="233"/>
        <v>124421</v>
      </c>
      <c r="D123" s="55">
        <f t="shared" si="234"/>
        <v>124421</v>
      </c>
      <c r="E123" s="58">
        <v>75</v>
      </c>
      <c r="F123" s="58">
        <v>124346</v>
      </c>
      <c r="G123" s="55">
        <f t="shared" si="235"/>
        <v>0</v>
      </c>
      <c r="H123" s="58"/>
      <c r="I123" s="58"/>
      <c r="J123" s="55">
        <f t="shared" si="236"/>
        <v>17733</v>
      </c>
      <c r="K123" s="55">
        <f t="shared" si="237"/>
        <v>17733</v>
      </c>
      <c r="L123" s="58">
        <v>-1</v>
      </c>
      <c r="M123" s="58">
        <v>17734</v>
      </c>
      <c r="N123" s="55">
        <f t="shared" si="238"/>
        <v>0</v>
      </c>
      <c r="O123" s="58"/>
      <c r="P123" s="58"/>
    </row>
    <row r="124" spans="1:16" s="153" customFormat="1" x14ac:dyDescent="0.25">
      <c r="A124" s="118"/>
      <c r="B124" s="46" t="s">
        <v>354</v>
      </c>
      <c r="C124" s="49">
        <f t="shared" ref="C124" si="239">C125+C126</f>
        <v>27865</v>
      </c>
      <c r="D124" s="49">
        <f t="shared" ref="D124:J124" si="240">D125+D126</f>
        <v>12994</v>
      </c>
      <c r="E124" s="48">
        <f t="shared" si="240"/>
        <v>12994</v>
      </c>
      <c r="F124" s="48">
        <f t="shared" si="240"/>
        <v>0</v>
      </c>
      <c r="G124" s="49">
        <f t="shared" ref="G124:I124" si="241">G125+G126</f>
        <v>14871</v>
      </c>
      <c r="H124" s="48">
        <f t="shared" si="241"/>
        <v>14871</v>
      </c>
      <c r="I124" s="48">
        <f t="shared" si="241"/>
        <v>0</v>
      </c>
      <c r="J124" s="49">
        <f t="shared" si="240"/>
        <v>1725</v>
      </c>
      <c r="K124" s="49">
        <f t="shared" ref="K124:P124" si="242">K125+K126</f>
        <v>1725</v>
      </c>
      <c r="L124" s="48">
        <f t="shared" si="242"/>
        <v>1725</v>
      </c>
      <c r="M124" s="48">
        <f t="shared" si="242"/>
        <v>0</v>
      </c>
      <c r="N124" s="49">
        <f t="shared" si="242"/>
        <v>0</v>
      </c>
      <c r="O124" s="48">
        <f t="shared" si="242"/>
        <v>0</v>
      </c>
      <c r="P124" s="48">
        <f t="shared" si="242"/>
        <v>0</v>
      </c>
    </row>
    <row r="125" spans="1:16" s="153" customFormat="1" x14ac:dyDescent="0.25">
      <c r="A125" s="116"/>
      <c r="B125" s="45" t="s">
        <v>75</v>
      </c>
      <c r="C125" s="55">
        <f t="shared" ref="C125:C126" si="243">+D125+G125</f>
        <v>27865</v>
      </c>
      <c r="D125" s="55">
        <f t="shared" ref="D125:D126" si="244">+E125+F125</f>
        <v>12994</v>
      </c>
      <c r="E125" s="58">
        <f>27865-G125</f>
        <v>12994</v>
      </c>
      <c r="F125" s="58">
        <v>0</v>
      </c>
      <c r="G125" s="55">
        <f t="shared" ref="G125:G126" si="245">+H125+I125</f>
        <v>14871</v>
      </c>
      <c r="H125" s="58">
        <v>14871</v>
      </c>
      <c r="I125" s="58"/>
      <c r="J125" s="55">
        <f t="shared" ref="J125:J126" si="246">+K125+N125</f>
        <v>1725</v>
      </c>
      <c r="K125" s="55">
        <f t="shared" ref="K125:K126" si="247">+L125+M125</f>
        <v>1725</v>
      </c>
      <c r="L125" s="58">
        <v>1725</v>
      </c>
      <c r="M125" s="58">
        <v>0</v>
      </c>
      <c r="N125" s="55">
        <f t="shared" ref="N125:N126" si="248">+O125+P125</f>
        <v>0</v>
      </c>
      <c r="O125" s="58"/>
      <c r="P125" s="58"/>
    </row>
    <row r="126" spans="1:16" s="153" customFormat="1" ht="78.75" x14ac:dyDescent="0.25">
      <c r="A126" s="116"/>
      <c r="B126" s="45" t="s">
        <v>77</v>
      </c>
      <c r="C126" s="55">
        <f t="shared" si="243"/>
        <v>0</v>
      </c>
      <c r="D126" s="55">
        <f t="shared" si="244"/>
        <v>0</v>
      </c>
      <c r="E126" s="58"/>
      <c r="F126" s="58"/>
      <c r="G126" s="55">
        <f t="shared" si="245"/>
        <v>0</v>
      </c>
      <c r="H126" s="58"/>
      <c r="I126" s="58"/>
      <c r="J126" s="55">
        <f t="shared" si="246"/>
        <v>0</v>
      </c>
      <c r="K126" s="55">
        <f t="shared" si="247"/>
        <v>0</v>
      </c>
      <c r="L126" s="58"/>
      <c r="M126" s="58"/>
      <c r="N126" s="55">
        <f t="shared" si="248"/>
        <v>0</v>
      </c>
      <c r="O126" s="58"/>
      <c r="P126" s="58"/>
    </row>
    <row r="127" spans="1:16" s="153" customFormat="1" ht="31.5" x14ac:dyDescent="0.25">
      <c r="A127" s="118"/>
      <c r="B127" s="46" t="s">
        <v>353</v>
      </c>
      <c r="C127" s="49">
        <f t="shared" ref="C127" si="249">C128+C129</f>
        <v>884089</v>
      </c>
      <c r="D127" s="49">
        <f t="shared" ref="D127:J127" si="250">D128+D129</f>
        <v>598839</v>
      </c>
      <c r="E127" s="48">
        <f t="shared" si="250"/>
        <v>0</v>
      </c>
      <c r="F127" s="48">
        <f t="shared" si="250"/>
        <v>598839</v>
      </c>
      <c r="G127" s="49">
        <f t="shared" ref="G127:I127" si="251">G128+G129</f>
        <v>285250</v>
      </c>
      <c r="H127" s="48">
        <f t="shared" si="251"/>
        <v>0</v>
      </c>
      <c r="I127" s="48">
        <f t="shared" si="251"/>
        <v>285250</v>
      </c>
      <c r="J127" s="49">
        <f t="shared" si="250"/>
        <v>83629</v>
      </c>
      <c r="K127" s="49">
        <f t="shared" ref="K127:P127" si="252">K128+K129</f>
        <v>83629</v>
      </c>
      <c r="L127" s="48">
        <f t="shared" si="252"/>
        <v>0</v>
      </c>
      <c r="M127" s="48">
        <f t="shared" si="252"/>
        <v>83629</v>
      </c>
      <c r="N127" s="49">
        <f t="shared" si="252"/>
        <v>0</v>
      </c>
      <c r="O127" s="48">
        <f t="shared" si="252"/>
        <v>0</v>
      </c>
      <c r="P127" s="48">
        <f t="shared" si="252"/>
        <v>0</v>
      </c>
    </row>
    <row r="128" spans="1:16" s="153" customFormat="1" x14ac:dyDescent="0.25">
      <c r="A128" s="116"/>
      <c r="B128" s="45" t="s">
        <v>75</v>
      </c>
      <c r="C128" s="55">
        <f t="shared" ref="C128:C129" si="253">+D128+G128</f>
        <v>884089</v>
      </c>
      <c r="D128" s="55">
        <f t="shared" ref="D128:D129" si="254">+E128+F128</f>
        <v>598839</v>
      </c>
      <c r="E128" s="58">
        <v>0</v>
      </c>
      <c r="F128" s="58">
        <f>884089-G128</f>
        <v>598839</v>
      </c>
      <c r="G128" s="55">
        <f t="shared" ref="G128:G129" si="255">+H128+I128</f>
        <v>285250</v>
      </c>
      <c r="H128" s="58"/>
      <c r="I128" s="58">
        <v>285250</v>
      </c>
      <c r="J128" s="55">
        <f t="shared" ref="J128:J129" si="256">+K128+N128</f>
        <v>83629</v>
      </c>
      <c r="K128" s="55">
        <f t="shared" ref="K128:K129" si="257">+L128+M128</f>
        <v>83629</v>
      </c>
      <c r="L128" s="58">
        <v>0</v>
      </c>
      <c r="M128" s="58">
        <v>83629</v>
      </c>
      <c r="N128" s="55">
        <f t="shared" ref="N128:N129" si="258">+O128+P128</f>
        <v>0</v>
      </c>
      <c r="O128" s="58"/>
      <c r="P128" s="58"/>
    </row>
    <row r="129" spans="1:16" s="153" customFormat="1" ht="78.75" x14ac:dyDescent="0.25">
      <c r="A129" s="116"/>
      <c r="B129" s="45" t="s">
        <v>77</v>
      </c>
      <c r="C129" s="55">
        <f t="shared" si="253"/>
        <v>0</v>
      </c>
      <c r="D129" s="55">
        <f t="shared" si="254"/>
        <v>0</v>
      </c>
      <c r="E129" s="58"/>
      <c r="F129" s="58"/>
      <c r="G129" s="55">
        <f t="shared" si="255"/>
        <v>0</v>
      </c>
      <c r="H129" s="58"/>
      <c r="I129" s="58"/>
      <c r="J129" s="55">
        <f t="shared" si="256"/>
        <v>0</v>
      </c>
      <c r="K129" s="55">
        <f t="shared" si="257"/>
        <v>0</v>
      </c>
      <c r="L129" s="58"/>
      <c r="M129" s="58"/>
      <c r="N129" s="55">
        <f t="shared" si="258"/>
        <v>0</v>
      </c>
      <c r="O129" s="58"/>
      <c r="P129" s="58"/>
    </row>
    <row r="130" spans="1:16" s="153" customFormat="1" x14ac:dyDescent="0.25">
      <c r="A130" s="118"/>
      <c r="B130" s="46" t="s">
        <v>361</v>
      </c>
      <c r="C130" s="49">
        <f t="shared" ref="C130" si="259">C131+C132</f>
        <v>0</v>
      </c>
      <c r="D130" s="49">
        <f t="shared" ref="D130:J130" si="260">D131+D132</f>
        <v>0</v>
      </c>
      <c r="E130" s="48">
        <f t="shared" si="260"/>
        <v>0</v>
      </c>
      <c r="F130" s="48">
        <f t="shared" si="260"/>
        <v>0</v>
      </c>
      <c r="G130" s="49">
        <f t="shared" ref="G130:I130" si="261">G131+G132</f>
        <v>0</v>
      </c>
      <c r="H130" s="48">
        <f t="shared" si="261"/>
        <v>0</v>
      </c>
      <c r="I130" s="48">
        <f t="shared" si="261"/>
        <v>0</v>
      </c>
      <c r="J130" s="49">
        <f t="shared" si="260"/>
        <v>0</v>
      </c>
      <c r="K130" s="49">
        <f t="shared" ref="K130:P130" si="262">K131+K132</f>
        <v>0</v>
      </c>
      <c r="L130" s="48">
        <f t="shared" si="262"/>
        <v>0</v>
      </c>
      <c r="M130" s="48">
        <f t="shared" si="262"/>
        <v>0</v>
      </c>
      <c r="N130" s="49">
        <f t="shared" si="262"/>
        <v>0</v>
      </c>
      <c r="O130" s="48">
        <f t="shared" si="262"/>
        <v>0</v>
      </c>
      <c r="P130" s="48">
        <f t="shared" si="262"/>
        <v>0</v>
      </c>
    </row>
    <row r="131" spans="1:16" s="153" customFormat="1" x14ac:dyDescent="0.25">
      <c r="A131" s="116"/>
      <c r="B131" s="45" t="s">
        <v>75</v>
      </c>
      <c r="C131" s="55">
        <f t="shared" ref="C131:C132" si="263">+D131+G131</f>
        <v>0</v>
      </c>
      <c r="D131" s="55">
        <f t="shared" ref="D131:D132" si="264">+E131+F131</f>
        <v>0</v>
      </c>
      <c r="E131" s="58">
        <v>0</v>
      </c>
      <c r="F131" s="58">
        <v>0</v>
      </c>
      <c r="G131" s="55">
        <f t="shared" ref="G131:G132" si="265">+H131+I131</f>
        <v>0</v>
      </c>
      <c r="H131" s="58"/>
      <c r="I131" s="58"/>
      <c r="J131" s="55">
        <f t="shared" ref="J131:J132" si="266">+K131+N131</f>
        <v>0</v>
      </c>
      <c r="K131" s="55">
        <f t="shared" ref="K131:K132" si="267">+L131+M131</f>
        <v>0</v>
      </c>
      <c r="L131" s="58">
        <v>0</v>
      </c>
      <c r="M131" s="58">
        <v>0</v>
      </c>
      <c r="N131" s="55">
        <f t="shared" ref="N131:N132" si="268">+O131+P131</f>
        <v>0</v>
      </c>
      <c r="O131" s="58"/>
      <c r="P131" s="58"/>
    </row>
    <row r="132" spans="1:16" s="153" customFormat="1" ht="78.75" x14ac:dyDescent="0.25">
      <c r="A132" s="116"/>
      <c r="B132" s="45" t="s">
        <v>77</v>
      </c>
      <c r="C132" s="55">
        <f t="shared" si="263"/>
        <v>0</v>
      </c>
      <c r="D132" s="55">
        <f t="shared" si="264"/>
        <v>0</v>
      </c>
      <c r="E132" s="58"/>
      <c r="F132" s="58"/>
      <c r="G132" s="55">
        <f t="shared" si="265"/>
        <v>0</v>
      </c>
      <c r="H132" s="58"/>
      <c r="I132" s="58"/>
      <c r="J132" s="55">
        <f t="shared" si="266"/>
        <v>0</v>
      </c>
      <c r="K132" s="55">
        <f t="shared" si="267"/>
        <v>0</v>
      </c>
      <c r="L132" s="58"/>
      <c r="M132" s="58"/>
      <c r="N132" s="55">
        <f t="shared" si="268"/>
        <v>0</v>
      </c>
      <c r="O132" s="58"/>
      <c r="P132" s="58"/>
    </row>
    <row r="133" spans="1:16" s="153" customFormat="1" ht="34.5" customHeight="1" x14ac:dyDescent="0.25">
      <c r="A133" s="118"/>
      <c r="B133" s="46" t="s">
        <v>362</v>
      </c>
      <c r="C133" s="49">
        <f t="shared" ref="C133" si="269">C134+C137</f>
        <v>162555918</v>
      </c>
      <c r="D133" s="49">
        <f t="shared" ref="D133:J133" si="270">D134+D137</f>
        <v>113075955</v>
      </c>
      <c r="E133" s="48">
        <f t="shared" si="270"/>
        <v>11861702</v>
      </c>
      <c r="F133" s="48">
        <f t="shared" si="270"/>
        <v>101214253</v>
      </c>
      <c r="G133" s="49">
        <f t="shared" ref="G133:I133" si="271">G134+G137</f>
        <v>49479963</v>
      </c>
      <c r="H133" s="48">
        <f t="shared" si="271"/>
        <v>5183092</v>
      </c>
      <c r="I133" s="48">
        <f t="shared" si="271"/>
        <v>44296871</v>
      </c>
      <c r="J133" s="49">
        <f t="shared" si="270"/>
        <v>16027267</v>
      </c>
      <c r="K133" s="49">
        <f t="shared" ref="K133:P133" si="272">K134+K137</f>
        <v>16027267</v>
      </c>
      <c r="L133" s="48">
        <f t="shared" si="272"/>
        <v>1774806</v>
      </c>
      <c r="M133" s="48">
        <f t="shared" si="272"/>
        <v>14252461</v>
      </c>
      <c r="N133" s="49">
        <f t="shared" si="272"/>
        <v>0</v>
      </c>
      <c r="O133" s="48">
        <f t="shared" si="272"/>
        <v>0</v>
      </c>
      <c r="P133" s="48">
        <f t="shared" si="272"/>
        <v>0</v>
      </c>
    </row>
    <row r="134" spans="1:16" s="153" customFormat="1" x14ac:dyDescent="0.25">
      <c r="A134" s="118"/>
      <c r="B134" s="46" t="s">
        <v>363</v>
      </c>
      <c r="C134" s="49">
        <f t="shared" ref="C134" si="273">C135+C136</f>
        <v>162021494</v>
      </c>
      <c r="D134" s="49">
        <f t="shared" ref="D134:J134" si="274">D135+D136</f>
        <v>112541531</v>
      </c>
      <c r="E134" s="48">
        <f t="shared" si="274"/>
        <v>11740558</v>
      </c>
      <c r="F134" s="48">
        <f t="shared" si="274"/>
        <v>100800973</v>
      </c>
      <c r="G134" s="49">
        <f t="shared" ref="G134:I134" si="275">G135+G136</f>
        <v>49479963</v>
      </c>
      <c r="H134" s="48">
        <f t="shared" si="275"/>
        <v>5183092</v>
      </c>
      <c r="I134" s="48">
        <f t="shared" si="275"/>
        <v>44296871</v>
      </c>
      <c r="J134" s="49">
        <f t="shared" si="274"/>
        <v>15985354</v>
      </c>
      <c r="K134" s="49">
        <f t="shared" ref="K134:P134" si="276">K135+K136</f>
        <v>15985354</v>
      </c>
      <c r="L134" s="48">
        <f t="shared" si="276"/>
        <v>1768824</v>
      </c>
      <c r="M134" s="48">
        <f t="shared" si="276"/>
        <v>14216530</v>
      </c>
      <c r="N134" s="49">
        <f t="shared" si="276"/>
        <v>0</v>
      </c>
      <c r="O134" s="48">
        <f t="shared" si="276"/>
        <v>0</v>
      </c>
      <c r="P134" s="48">
        <f t="shared" si="276"/>
        <v>0</v>
      </c>
    </row>
    <row r="135" spans="1:16" s="153" customFormat="1" x14ac:dyDescent="0.25">
      <c r="A135" s="116"/>
      <c r="B135" s="45" t="s">
        <v>364</v>
      </c>
      <c r="C135" s="55">
        <f t="shared" ref="C135:C137" si="277">+D135+G135</f>
        <v>162021494</v>
      </c>
      <c r="D135" s="55">
        <f t="shared" ref="D135:D137" si="278">+E135+F135</f>
        <v>112541531</v>
      </c>
      <c r="E135" s="58">
        <f>16923650-H135</f>
        <v>11740558</v>
      </c>
      <c r="F135" s="58">
        <f>145097844-I135</f>
        <v>100800973</v>
      </c>
      <c r="G135" s="55">
        <f t="shared" ref="G135:G137" si="279">+H135+I135</f>
        <v>49479963</v>
      </c>
      <c r="H135" s="58">
        <v>5183092</v>
      </c>
      <c r="I135" s="58">
        <v>44296871</v>
      </c>
      <c r="J135" s="55">
        <f t="shared" ref="J135:J137" si="280">+K135+N135</f>
        <v>15985354</v>
      </c>
      <c r="K135" s="55">
        <f t="shared" ref="K135:K137" si="281">+L135+M135</f>
        <v>15985354</v>
      </c>
      <c r="L135" s="58">
        <v>1768824</v>
      </c>
      <c r="M135" s="58">
        <v>14216530</v>
      </c>
      <c r="N135" s="55">
        <f t="shared" ref="N135:N137" si="282">+O135+P135</f>
        <v>0</v>
      </c>
      <c r="O135" s="58"/>
      <c r="P135" s="58"/>
    </row>
    <row r="136" spans="1:16" s="153" customFormat="1" x14ac:dyDescent="0.25">
      <c r="A136" s="116"/>
      <c r="B136" s="45" t="s">
        <v>365</v>
      </c>
      <c r="C136" s="55">
        <f t="shared" si="277"/>
        <v>0</v>
      </c>
      <c r="D136" s="55">
        <f t="shared" si="278"/>
        <v>0</v>
      </c>
      <c r="E136" s="58"/>
      <c r="F136" s="58"/>
      <c r="G136" s="55">
        <f t="shared" si="279"/>
        <v>0</v>
      </c>
      <c r="H136" s="58"/>
      <c r="I136" s="58"/>
      <c r="J136" s="55">
        <f t="shared" si="280"/>
        <v>0</v>
      </c>
      <c r="K136" s="55">
        <f t="shared" si="281"/>
        <v>0</v>
      </c>
      <c r="L136" s="58"/>
      <c r="M136" s="58"/>
      <c r="N136" s="55">
        <f t="shared" si="282"/>
        <v>0</v>
      </c>
      <c r="O136" s="58"/>
      <c r="P136" s="58"/>
    </row>
    <row r="137" spans="1:16" s="153" customFormat="1" ht="78.75" x14ac:dyDescent="0.25">
      <c r="A137" s="116"/>
      <c r="B137" s="45" t="s">
        <v>77</v>
      </c>
      <c r="C137" s="55">
        <f t="shared" si="277"/>
        <v>534424</v>
      </c>
      <c r="D137" s="55">
        <f t="shared" si="278"/>
        <v>534424</v>
      </c>
      <c r="E137" s="58">
        <v>121144</v>
      </c>
      <c r="F137" s="58">
        <v>413280</v>
      </c>
      <c r="G137" s="55">
        <f t="shared" si="279"/>
        <v>0</v>
      </c>
      <c r="H137" s="58"/>
      <c r="I137" s="58"/>
      <c r="J137" s="55">
        <f t="shared" si="280"/>
        <v>41913</v>
      </c>
      <c r="K137" s="55">
        <f t="shared" si="281"/>
        <v>41913</v>
      </c>
      <c r="L137" s="58">
        <v>5982</v>
      </c>
      <c r="M137" s="58">
        <v>35931</v>
      </c>
      <c r="N137" s="55">
        <f t="shared" si="282"/>
        <v>0</v>
      </c>
      <c r="O137" s="58"/>
      <c r="P137" s="58"/>
    </row>
    <row r="138" spans="1:16" s="153" customFormat="1" ht="47.25" x14ac:dyDescent="0.25">
      <c r="A138" s="46"/>
      <c r="B138" s="46" t="s">
        <v>607</v>
      </c>
      <c r="C138" s="61">
        <f>C139+C142+C143+C144+C145+C148+C149</f>
        <v>67620993</v>
      </c>
      <c r="D138" s="61">
        <f t="shared" ref="D138:J138" si="283">D139+D142+D143+D144+D145+D148+D149</f>
        <v>48572710</v>
      </c>
      <c r="E138" s="61">
        <f t="shared" si="283"/>
        <v>23105080</v>
      </c>
      <c r="F138" s="61">
        <f t="shared" si="283"/>
        <v>25467630</v>
      </c>
      <c r="G138" s="61">
        <f t="shared" ref="G138:I138" si="284">G139+G142+G143+G144+G145+G148+G149</f>
        <v>19048283</v>
      </c>
      <c r="H138" s="61">
        <f t="shared" si="284"/>
        <v>11315240</v>
      </c>
      <c r="I138" s="61">
        <f t="shared" si="284"/>
        <v>7733043</v>
      </c>
      <c r="J138" s="61">
        <f t="shared" si="283"/>
        <v>5499429</v>
      </c>
      <c r="K138" s="61">
        <f t="shared" ref="K138:P138" si="285">K139+K142+K143+K144+K145+K148+K149</f>
        <v>5499429</v>
      </c>
      <c r="L138" s="61">
        <f t="shared" si="285"/>
        <v>1913796</v>
      </c>
      <c r="M138" s="61">
        <f t="shared" si="285"/>
        <v>3585633</v>
      </c>
      <c r="N138" s="61">
        <f t="shared" si="285"/>
        <v>0</v>
      </c>
      <c r="O138" s="61">
        <f t="shared" si="285"/>
        <v>0</v>
      </c>
      <c r="P138" s="61">
        <f t="shared" si="285"/>
        <v>0</v>
      </c>
    </row>
    <row r="139" spans="1:16" s="153" customFormat="1" ht="31.5" x14ac:dyDescent="0.25">
      <c r="A139" s="118"/>
      <c r="B139" s="118" t="s">
        <v>366</v>
      </c>
      <c r="C139" s="49">
        <f t="shared" ref="C139" si="286">C140+C141</f>
        <v>54739021</v>
      </c>
      <c r="D139" s="49">
        <f t="shared" ref="D139:J139" si="287">D140+D141</f>
        <v>39703946</v>
      </c>
      <c r="E139" s="48">
        <f t="shared" si="287"/>
        <v>18411669</v>
      </c>
      <c r="F139" s="48">
        <f t="shared" si="287"/>
        <v>21292277</v>
      </c>
      <c r="G139" s="49">
        <f t="shared" ref="G139:I139" si="288">G140+G141</f>
        <v>15035075</v>
      </c>
      <c r="H139" s="48">
        <f t="shared" si="288"/>
        <v>7302032</v>
      </c>
      <c r="I139" s="48">
        <f t="shared" si="288"/>
        <v>7733043</v>
      </c>
      <c r="J139" s="49">
        <f t="shared" si="287"/>
        <v>4970360</v>
      </c>
      <c r="K139" s="49">
        <f t="shared" ref="K139:P139" si="289">K140+K141</f>
        <v>4970360</v>
      </c>
      <c r="L139" s="48">
        <f t="shared" si="289"/>
        <v>1913796</v>
      </c>
      <c r="M139" s="48">
        <f t="shared" si="289"/>
        <v>3056564</v>
      </c>
      <c r="N139" s="49">
        <f t="shared" si="289"/>
        <v>0</v>
      </c>
      <c r="O139" s="48">
        <f t="shared" si="289"/>
        <v>0</v>
      </c>
      <c r="P139" s="48">
        <f t="shared" si="289"/>
        <v>0</v>
      </c>
    </row>
    <row r="140" spans="1:16" x14ac:dyDescent="0.25">
      <c r="A140" s="116"/>
      <c r="B140" s="116" t="s">
        <v>75</v>
      </c>
      <c r="C140" s="55">
        <f t="shared" ref="C140:C144" si="290">+D140+G140</f>
        <v>54392556</v>
      </c>
      <c r="D140" s="55">
        <f t="shared" ref="D140:D144" si="291">+E140+F140</f>
        <v>39357481</v>
      </c>
      <c r="E140" s="58">
        <f>25663070-H140</f>
        <v>18361038</v>
      </c>
      <c r="F140" s="58">
        <f>28729486-I140</f>
        <v>20996443</v>
      </c>
      <c r="G140" s="55">
        <f t="shared" ref="G140:G144" si="292">+H140+I140</f>
        <v>15035075</v>
      </c>
      <c r="H140" s="58">
        <v>7302032</v>
      </c>
      <c r="I140" s="58">
        <v>7733043</v>
      </c>
      <c r="J140" s="55">
        <f t="shared" ref="J140:J144" si="293">+K140+N140</f>
        <v>4915146</v>
      </c>
      <c r="K140" s="55">
        <f t="shared" ref="K140:K144" si="294">+L140+M140</f>
        <v>4915146</v>
      </c>
      <c r="L140" s="58">
        <v>1913796</v>
      </c>
      <c r="M140" s="58">
        <v>3001350</v>
      </c>
      <c r="N140" s="55">
        <f t="shared" ref="N140:N144" si="295">+O140+P140</f>
        <v>0</v>
      </c>
      <c r="O140" s="58"/>
      <c r="P140" s="58"/>
    </row>
    <row r="141" spans="1:16" ht="78.75" x14ac:dyDescent="0.25">
      <c r="A141" s="116"/>
      <c r="B141" s="116" t="s">
        <v>77</v>
      </c>
      <c r="C141" s="55">
        <f t="shared" si="290"/>
        <v>346465</v>
      </c>
      <c r="D141" s="55">
        <f t="shared" si="291"/>
        <v>346465</v>
      </c>
      <c r="E141" s="58">
        <f>50631</f>
        <v>50631</v>
      </c>
      <c r="F141" s="58">
        <f>295834</f>
        <v>295834</v>
      </c>
      <c r="G141" s="55">
        <f t="shared" si="292"/>
        <v>0</v>
      </c>
      <c r="H141" s="58"/>
      <c r="I141" s="58"/>
      <c r="J141" s="55">
        <f t="shared" si="293"/>
        <v>55214</v>
      </c>
      <c r="K141" s="55">
        <f t="shared" si="294"/>
        <v>55214</v>
      </c>
      <c r="L141" s="58">
        <v>0</v>
      </c>
      <c r="M141" s="58">
        <v>55214</v>
      </c>
      <c r="N141" s="55">
        <f t="shared" si="295"/>
        <v>0</v>
      </c>
      <c r="O141" s="58"/>
      <c r="P141" s="58"/>
    </row>
    <row r="142" spans="1:16" s="153" customFormat="1" x14ac:dyDescent="0.25">
      <c r="A142" s="118"/>
      <c r="B142" s="118" t="s">
        <v>367</v>
      </c>
      <c r="C142" s="55">
        <f t="shared" si="290"/>
        <v>0</v>
      </c>
      <c r="D142" s="55">
        <f t="shared" si="291"/>
        <v>0</v>
      </c>
      <c r="E142" s="58"/>
      <c r="F142" s="58"/>
      <c r="G142" s="55">
        <f t="shared" si="292"/>
        <v>0</v>
      </c>
      <c r="H142" s="58"/>
      <c r="I142" s="58"/>
      <c r="J142" s="55">
        <f t="shared" si="293"/>
        <v>0</v>
      </c>
      <c r="K142" s="55">
        <f t="shared" si="294"/>
        <v>0</v>
      </c>
      <c r="L142" s="58"/>
      <c r="M142" s="58"/>
      <c r="N142" s="55">
        <f t="shared" si="295"/>
        <v>0</v>
      </c>
      <c r="O142" s="58"/>
      <c r="P142" s="58"/>
    </row>
    <row r="143" spans="1:16" s="153" customFormat="1" ht="31.5" x14ac:dyDescent="0.25">
      <c r="A143" s="118"/>
      <c r="B143" s="118" t="s">
        <v>368</v>
      </c>
      <c r="C143" s="55">
        <f t="shared" si="290"/>
        <v>12684025</v>
      </c>
      <c r="D143" s="55">
        <f t="shared" si="291"/>
        <v>8686864</v>
      </c>
      <c r="E143" s="58">
        <f>8508672-G143</f>
        <v>4511511</v>
      </c>
      <c r="F143" s="58">
        <f>4175353</f>
        <v>4175353</v>
      </c>
      <c r="G143" s="55">
        <f t="shared" si="292"/>
        <v>3997161</v>
      </c>
      <c r="H143" s="58">
        <v>3997161</v>
      </c>
      <c r="I143" s="58"/>
      <c r="J143" s="55">
        <f t="shared" si="293"/>
        <v>529069</v>
      </c>
      <c r="K143" s="55">
        <f t="shared" si="294"/>
        <v>529069</v>
      </c>
      <c r="L143" s="58">
        <v>0</v>
      </c>
      <c r="M143" s="58">
        <v>529069</v>
      </c>
      <c r="N143" s="55">
        <f t="shared" si="295"/>
        <v>0</v>
      </c>
      <c r="O143" s="58"/>
      <c r="P143" s="58"/>
    </row>
    <row r="144" spans="1:16" s="153" customFormat="1" ht="31.5" x14ac:dyDescent="0.25">
      <c r="A144" s="118"/>
      <c r="B144" s="118" t="s">
        <v>369</v>
      </c>
      <c r="C144" s="55">
        <f t="shared" si="290"/>
        <v>0</v>
      </c>
      <c r="D144" s="55">
        <f t="shared" si="291"/>
        <v>0</v>
      </c>
      <c r="E144" s="58"/>
      <c r="F144" s="58"/>
      <c r="G144" s="55">
        <f t="shared" si="292"/>
        <v>0</v>
      </c>
      <c r="H144" s="58"/>
      <c r="I144" s="58"/>
      <c r="J144" s="55">
        <f t="shared" si="293"/>
        <v>0</v>
      </c>
      <c r="K144" s="55">
        <f t="shared" si="294"/>
        <v>0</v>
      </c>
      <c r="L144" s="58"/>
      <c r="M144" s="58"/>
      <c r="N144" s="55">
        <f t="shared" si="295"/>
        <v>0</v>
      </c>
      <c r="O144" s="58"/>
      <c r="P144" s="58"/>
    </row>
    <row r="145" spans="1:16" s="153" customFormat="1" x14ac:dyDescent="0.25">
      <c r="A145" s="118"/>
      <c r="B145" s="118" t="s">
        <v>370</v>
      </c>
      <c r="C145" s="49">
        <f t="shared" ref="C145" si="296">C146+C147</f>
        <v>0</v>
      </c>
      <c r="D145" s="49">
        <f t="shared" ref="D145:J145" si="297">D146+D147</f>
        <v>0</v>
      </c>
      <c r="E145" s="48">
        <f t="shared" si="297"/>
        <v>0</v>
      </c>
      <c r="F145" s="48">
        <f t="shared" si="297"/>
        <v>0</v>
      </c>
      <c r="G145" s="49">
        <f t="shared" ref="G145:I145" si="298">G146+G147</f>
        <v>0</v>
      </c>
      <c r="H145" s="48">
        <f t="shared" si="298"/>
        <v>0</v>
      </c>
      <c r="I145" s="48">
        <f t="shared" si="298"/>
        <v>0</v>
      </c>
      <c r="J145" s="49">
        <f t="shared" si="297"/>
        <v>0</v>
      </c>
      <c r="K145" s="49">
        <f t="shared" ref="K145:P145" si="299">K146+K147</f>
        <v>0</v>
      </c>
      <c r="L145" s="48">
        <f t="shared" si="299"/>
        <v>0</v>
      </c>
      <c r="M145" s="48">
        <f t="shared" si="299"/>
        <v>0</v>
      </c>
      <c r="N145" s="49">
        <f t="shared" si="299"/>
        <v>0</v>
      </c>
      <c r="O145" s="48">
        <f t="shared" si="299"/>
        <v>0</v>
      </c>
      <c r="P145" s="48">
        <f t="shared" si="299"/>
        <v>0</v>
      </c>
    </row>
    <row r="146" spans="1:16" x14ac:dyDescent="0.25">
      <c r="A146" s="116"/>
      <c r="B146" s="116" t="s">
        <v>75</v>
      </c>
      <c r="C146" s="55">
        <f t="shared" ref="C146:C152" si="300">+D146+G146</f>
        <v>0</v>
      </c>
      <c r="D146" s="55">
        <f t="shared" ref="D146:D151" si="301">+E146+F146</f>
        <v>0</v>
      </c>
      <c r="E146" s="58"/>
      <c r="F146" s="58"/>
      <c r="G146" s="55">
        <f t="shared" ref="G146:G151" si="302">+H146+I146</f>
        <v>0</v>
      </c>
      <c r="H146" s="58"/>
      <c r="I146" s="58"/>
      <c r="J146" s="55">
        <f t="shared" ref="J146:J152" si="303">+K146+N146</f>
        <v>0</v>
      </c>
      <c r="K146" s="55">
        <f t="shared" ref="K146:K148" si="304">+L146+M146</f>
        <v>0</v>
      </c>
      <c r="L146" s="58"/>
      <c r="M146" s="58"/>
      <c r="N146" s="55">
        <f t="shared" ref="N146:N151" si="305">+O146+P146</f>
        <v>0</v>
      </c>
      <c r="O146" s="58"/>
      <c r="P146" s="58"/>
    </row>
    <row r="147" spans="1:16" ht="66" customHeight="1" x14ac:dyDescent="0.25">
      <c r="A147" s="116"/>
      <c r="B147" s="116" t="s">
        <v>77</v>
      </c>
      <c r="C147" s="55">
        <f t="shared" si="300"/>
        <v>0</v>
      </c>
      <c r="D147" s="55">
        <f t="shared" si="301"/>
        <v>0</v>
      </c>
      <c r="E147" s="58"/>
      <c r="F147" s="58"/>
      <c r="G147" s="55">
        <f t="shared" si="302"/>
        <v>0</v>
      </c>
      <c r="H147" s="58"/>
      <c r="I147" s="58"/>
      <c r="J147" s="55">
        <f t="shared" si="303"/>
        <v>0</v>
      </c>
      <c r="K147" s="55">
        <f t="shared" si="304"/>
        <v>0</v>
      </c>
      <c r="L147" s="58"/>
      <c r="M147" s="58"/>
      <c r="N147" s="55">
        <f t="shared" si="305"/>
        <v>0</v>
      </c>
      <c r="O147" s="58"/>
      <c r="P147" s="58"/>
    </row>
    <row r="148" spans="1:16" s="153" customFormat="1" ht="33" customHeight="1" x14ac:dyDescent="0.25">
      <c r="A148" s="118"/>
      <c r="B148" s="118" t="s">
        <v>371</v>
      </c>
      <c r="C148" s="55">
        <f t="shared" si="300"/>
        <v>193161</v>
      </c>
      <c r="D148" s="55">
        <f t="shared" si="301"/>
        <v>179096</v>
      </c>
      <c r="E148" s="58">
        <f>193161-G148</f>
        <v>179096</v>
      </c>
      <c r="F148" s="58">
        <v>0</v>
      </c>
      <c r="G148" s="55">
        <f t="shared" si="302"/>
        <v>14065</v>
      </c>
      <c r="H148" s="58">
        <v>14065</v>
      </c>
      <c r="I148" s="58"/>
      <c r="J148" s="55">
        <f t="shared" si="303"/>
        <v>0</v>
      </c>
      <c r="K148" s="55">
        <f t="shared" si="304"/>
        <v>0</v>
      </c>
      <c r="L148" s="58">
        <v>0</v>
      </c>
      <c r="M148" s="58">
        <v>0</v>
      </c>
      <c r="N148" s="55">
        <f t="shared" si="305"/>
        <v>0</v>
      </c>
      <c r="O148" s="58"/>
      <c r="P148" s="58"/>
    </row>
    <row r="149" spans="1:16" s="153" customFormat="1" ht="33.75" customHeight="1" x14ac:dyDescent="0.25">
      <c r="A149" s="118"/>
      <c r="B149" s="118" t="s">
        <v>372</v>
      </c>
      <c r="C149" s="63">
        <f t="shared" ref="C149:I149" si="306">C150+C151</f>
        <v>4786</v>
      </c>
      <c r="D149" s="63">
        <f t="shared" si="306"/>
        <v>2804</v>
      </c>
      <c r="E149" s="63">
        <f t="shared" si="306"/>
        <v>2804</v>
      </c>
      <c r="F149" s="63">
        <f t="shared" si="306"/>
        <v>0</v>
      </c>
      <c r="G149" s="63">
        <f t="shared" si="306"/>
        <v>1982</v>
      </c>
      <c r="H149" s="63">
        <f t="shared" si="306"/>
        <v>1982</v>
      </c>
      <c r="I149" s="63">
        <f t="shared" si="306"/>
        <v>0</v>
      </c>
      <c r="J149" s="63">
        <f t="shared" ref="J149:K149" si="307">J150+J151</f>
        <v>0</v>
      </c>
      <c r="K149" s="63">
        <f t="shared" si="307"/>
        <v>0</v>
      </c>
      <c r="L149" s="63">
        <f>L150+L151</f>
        <v>0</v>
      </c>
      <c r="M149" s="63">
        <f>M150+M151</f>
        <v>0</v>
      </c>
      <c r="N149" s="63">
        <f>N150+N151</f>
        <v>0</v>
      </c>
      <c r="O149" s="63">
        <f>O150+O151</f>
        <v>0</v>
      </c>
      <c r="P149" s="63">
        <f>P150+P151</f>
        <v>0</v>
      </c>
    </row>
    <row r="150" spans="1:16" s="153" customFormat="1" x14ac:dyDescent="0.25">
      <c r="A150" s="144"/>
      <c r="B150" s="119" t="s">
        <v>75</v>
      </c>
      <c r="C150" s="55">
        <f t="shared" si="300"/>
        <v>4786</v>
      </c>
      <c r="D150" s="55">
        <f t="shared" si="301"/>
        <v>2804</v>
      </c>
      <c r="E150" s="96">
        <f>4786-H150</f>
        <v>2804</v>
      </c>
      <c r="F150" s="96"/>
      <c r="G150" s="55">
        <f t="shared" si="302"/>
        <v>1982</v>
      </c>
      <c r="H150" s="96">
        <v>1982</v>
      </c>
      <c r="I150" s="96"/>
      <c r="J150" s="55">
        <f t="shared" ref="J150:J151" si="308">+K150+N150</f>
        <v>0</v>
      </c>
      <c r="K150" s="55">
        <f t="shared" ref="K150:K151" si="309">+L150+M150</f>
        <v>0</v>
      </c>
      <c r="L150" s="96">
        <v>0</v>
      </c>
      <c r="M150" s="96">
        <v>0</v>
      </c>
      <c r="N150" s="55">
        <f t="shared" si="305"/>
        <v>0</v>
      </c>
      <c r="O150" s="96"/>
      <c r="P150" s="96"/>
    </row>
    <row r="151" spans="1:16" s="153" customFormat="1" ht="78.75" x14ac:dyDescent="0.25">
      <c r="A151" s="144"/>
      <c r="B151" s="119" t="s">
        <v>77</v>
      </c>
      <c r="C151" s="55">
        <f t="shared" si="300"/>
        <v>0</v>
      </c>
      <c r="D151" s="55">
        <f t="shared" si="301"/>
        <v>0</v>
      </c>
      <c r="E151" s="96">
        <v>0</v>
      </c>
      <c r="F151" s="96">
        <v>0</v>
      </c>
      <c r="G151" s="55">
        <f t="shared" si="302"/>
        <v>0</v>
      </c>
      <c r="H151" s="96">
        <v>0</v>
      </c>
      <c r="I151" s="96">
        <v>0</v>
      </c>
      <c r="J151" s="55">
        <f t="shared" si="308"/>
        <v>0</v>
      </c>
      <c r="K151" s="55">
        <f t="shared" si="309"/>
        <v>0</v>
      </c>
      <c r="L151" s="96">
        <v>0</v>
      </c>
      <c r="M151" s="96">
        <v>0</v>
      </c>
      <c r="N151" s="55">
        <f t="shared" si="305"/>
        <v>0</v>
      </c>
      <c r="O151" s="96"/>
      <c r="P151" s="96"/>
    </row>
    <row r="152" spans="1:16" s="153" customFormat="1" ht="19.5" customHeight="1" x14ac:dyDescent="0.25">
      <c r="A152" s="144"/>
      <c r="B152" s="115" t="s">
        <v>391</v>
      </c>
      <c r="C152" s="55">
        <f t="shared" si="300"/>
        <v>0</v>
      </c>
      <c r="D152" s="58"/>
      <c r="E152" s="58" t="s">
        <v>614</v>
      </c>
      <c r="F152" s="58" t="s">
        <v>614</v>
      </c>
      <c r="G152" s="58"/>
      <c r="H152" s="58" t="s">
        <v>614</v>
      </c>
      <c r="I152" s="58" t="s">
        <v>614</v>
      </c>
      <c r="J152" s="55">
        <f t="shared" si="303"/>
        <v>0</v>
      </c>
      <c r="K152" s="58"/>
      <c r="L152" s="58" t="s">
        <v>614</v>
      </c>
      <c r="M152" s="58" t="s">
        <v>614</v>
      </c>
      <c r="N152" s="58"/>
      <c r="O152" s="58" t="s">
        <v>614</v>
      </c>
      <c r="P152" s="58" t="s">
        <v>614</v>
      </c>
    </row>
    <row r="153" spans="1:16" ht="31.5" x14ac:dyDescent="0.25">
      <c r="A153" s="46" t="s">
        <v>305</v>
      </c>
      <c r="B153" s="46" t="s">
        <v>85</v>
      </c>
      <c r="C153" s="61">
        <f>C154+C157+C160+C163+C166+C167+C168+C171+C172+C175</f>
        <v>21991080</v>
      </c>
      <c r="D153" s="61">
        <f t="shared" ref="D153:J153" si="310">D154+D157+D160+D163+D166+D167+D168+D171+D172+D175</f>
        <v>15673029</v>
      </c>
      <c r="E153" s="61">
        <f t="shared" si="310"/>
        <v>12886850</v>
      </c>
      <c r="F153" s="61">
        <f t="shared" si="310"/>
        <v>2786179</v>
      </c>
      <c r="G153" s="61">
        <f t="shared" ref="G153:I153" si="311">G154+G157+G160+G163+G166+G167+G168+G171+G172+G175</f>
        <v>6318051</v>
      </c>
      <c r="H153" s="61">
        <f t="shared" si="311"/>
        <v>5372276</v>
      </c>
      <c r="I153" s="61">
        <f t="shared" si="311"/>
        <v>945775</v>
      </c>
      <c r="J153" s="61">
        <f t="shared" si="310"/>
        <v>1585897</v>
      </c>
      <c r="K153" s="61">
        <f t="shared" ref="K153:P153" si="312">K154+K157+K160+K163+K166+K167+K168+K171+K172+K175</f>
        <v>1585897</v>
      </c>
      <c r="L153" s="61">
        <f t="shared" si="312"/>
        <v>1268034</v>
      </c>
      <c r="M153" s="61">
        <f t="shared" si="312"/>
        <v>317863</v>
      </c>
      <c r="N153" s="61">
        <f t="shared" si="312"/>
        <v>0</v>
      </c>
      <c r="O153" s="61">
        <f t="shared" si="312"/>
        <v>0</v>
      </c>
      <c r="P153" s="61">
        <f t="shared" si="312"/>
        <v>0</v>
      </c>
    </row>
    <row r="154" spans="1:16" s="153" customFormat="1" x14ac:dyDescent="0.25">
      <c r="A154" s="118"/>
      <c r="B154" s="46" t="s">
        <v>352</v>
      </c>
      <c r="C154" s="49">
        <f t="shared" ref="C154" si="313">C155+C156</f>
        <v>3731954</v>
      </c>
      <c r="D154" s="49">
        <f t="shared" ref="D154:J154" si="314">D155+D156</f>
        <v>2786179</v>
      </c>
      <c r="E154" s="48">
        <f t="shared" si="314"/>
        <v>0</v>
      </c>
      <c r="F154" s="48">
        <f t="shared" si="314"/>
        <v>2786179</v>
      </c>
      <c r="G154" s="49">
        <f t="shared" ref="G154:I154" si="315">G155+G156</f>
        <v>945775</v>
      </c>
      <c r="H154" s="48">
        <f t="shared" si="315"/>
        <v>0</v>
      </c>
      <c r="I154" s="48">
        <f t="shared" si="315"/>
        <v>945775</v>
      </c>
      <c r="J154" s="49">
        <f t="shared" si="314"/>
        <v>317863</v>
      </c>
      <c r="K154" s="49">
        <f t="shared" ref="K154:P154" si="316">K155+K156</f>
        <v>317863</v>
      </c>
      <c r="L154" s="48">
        <f t="shared" si="316"/>
        <v>0</v>
      </c>
      <c r="M154" s="48">
        <f t="shared" si="316"/>
        <v>317863</v>
      </c>
      <c r="N154" s="49">
        <f t="shared" si="316"/>
        <v>0</v>
      </c>
      <c r="O154" s="48">
        <f t="shared" si="316"/>
        <v>0</v>
      </c>
      <c r="P154" s="48">
        <f t="shared" si="316"/>
        <v>0</v>
      </c>
    </row>
    <row r="155" spans="1:16" x14ac:dyDescent="0.25">
      <c r="A155" s="116"/>
      <c r="B155" s="45" t="s">
        <v>373</v>
      </c>
      <c r="C155" s="55">
        <f t="shared" ref="C155:C156" si="317">+D155+G155</f>
        <v>3722130</v>
      </c>
      <c r="D155" s="55">
        <f t="shared" ref="D155:D156" si="318">+E155+F155</f>
        <v>2776355</v>
      </c>
      <c r="E155" s="58">
        <v>0</v>
      </c>
      <c r="F155" s="58">
        <f>3722130-I155</f>
        <v>2776355</v>
      </c>
      <c r="G155" s="55">
        <f t="shared" ref="G155:G156" si="319">+H155+I155</f>
        <v>945775</v>
      </c>
      <c r="H155" s="58">
        <v>0</v>
      </c>
      <c r="I155" s="58">
        <v>945775</v>
      </c>
      <c r="J155" s="55">
        <f t="shared" ref="J155:J156" si="320">+K155+N155</f>
        <v>316171</v>
      </c>
      <c r="K155" s="55">
        <f t="shared" ref="K155:K156" si="321">+L155+M155</f>
        <v>316171</v>
      </c>
      <c r="L155" s="58">
        <v>0</v>
      </c>
      <c r="M155" s="58">
        <v>316171</v>
      </c>
      <c r="N155" s="55">
        <f t="shared" ref="N155:N156" si="322">+O155+P155</f>
        <v>0</v>
      </c>
      <c r="O155" s="58"/>
      <c r="P155" s="58"/>
    </row>
    <row r="156" spans="1:16" ht="78.75" x14ac:dyDescent="0.25">
      <c r="A156" s="116"/>
      <c r="B156" s="116" t="s">
        <v>77</v>
      </c>
      <c r="C156" s="55">
        <f t="shared" si="317"/>
        <v>9824</v>
      </c>
      <c r="D156" s="55">
        <f t="shared" si="318"/>
        <v>9824</v>
      </c>
      <c r="E156" s="58">
        <v>0</v>
      </c>
      <c r="F156" s="58">
        <v>9824</v>
      </c>
      <c r="G156" s="55">
        <f t="shared" si="319"/>
        <v>0</v>
      </c>
      <c r="H156" s="58"/>
      <c r="I156" s="58"/>
      <c r="J156" s="55">
        <f t="shared" si="320"/>
        <v>1692</v>
      </c>
      <c r="K156" s="55">
        <f t="shared" si="321"/>
        <v>1692</v>
      </c>
      <c r="L156" s="58">
        <v>0</v>
      </c>
      <c r="M156" s="58">
        <v>1692</v>
      </c>
      <c r="N156" s="55">
        <f t="shared" si="322"/>
        <v>0</v>
      </c>
      <c r="O156" s="58"/>
      <c r="P156" s="58"/>
    </row>
    <row r="157" spans="1:16" s="153" customFormat="1" ht="47.25" x14ac:dyDescent="0.25">
      <c r="A157" s="118"/>
      <c r="B157" s="46" t="s">
        <v>374</v>
      </c>
      <c r="C157" s="49">
        <f t="shared" ref="C157" si="323">C158+C159</f>
        <v>4294848</v>
      </c>
      <c r="D157" s="49">
        <f t="shared" ref="D157:J157" si="324">D158+D159</f>
        <v>2888858</v>
      </c>
      <c r="E157" s="48">
        <f t="shared" si="324"/>
        <v>2888858</v>
      </c>
      <c r="F157" s="48">
        <f t="shared" si="324"/>
        <v>0</v>
      </c>
      <c r="G157" s="49">
        <f t="shared" ref="G157:I157" si="325">G158+G159</f>
        <v>1405990</v>
      </c>
      <c r="H157" s="48">
        <f t="shared" si="325"/>
        <v>1405990</v>
      </c>
      <c r="I157" s="48">
        <f t="shared" si="325"/>
        <v>0</v>
      </c>
      <c r="J157" s="49">
        <f t="shared" si="324"/>
        <v>633944</v>
      </c>
      <c r="K157" s="49">
        <f t="shared" ref="K157:P157" si="326">K158+K159</f>
        <v>633944</v>
      </c>
      <c r="L157" s="48">
        <f t="shared" si="326"/>
        <v>633944</v>
      </c>
      <c r="M157" s="48">
        <f t="shared" si="326"/>
        <v>0</v>
      </c>
      <c r="N157" s="49">
        <f t="shared" si="326"/>
        <v>0</v>
      </c>
      <c r="O157" s="48">
        <f t="shared" si="326"/>
        <v>0</v>
      </c>
      <c r="P157" s="48">
        <f t="shared" si="326"/>
        <v>0</v>
      </c>
    </row>
    <row r="158" spans="1:16" x14ac:dyDescent="0.25">
      <c r="A158" s="116"/>
      <c r="B158" s="45" t="s">
        <v>373</v>
      </c>
      <c r="C158" s="55">
        <f t="shared" ref="C158:C159" si="327">+D158+G158</f>
        <v>4294848</v>
      </c>
      <c r="D158" s="55">
        <f t="shared" ref="D158:D159" si="328">+E158+F158</f>
        <v>2888858</v>
      </c>
      <c r="E158" s="58">
        <f>4294848-H158</f>
        <v>2888858</v>
      </c>
      <c r="F158" s="58">
        <v>0</v>
      </c>
      <c r="G158" s="55">
        <f t="shared" ref="G158:G159" si="329">+H158+I158</f>
        <v>1405990</v>
      </c>
      <c r="H158" s="58">
        <v>1405990</v>
      </c>
      <c r="I158" s="58"/>
      <c r="J158" s="55">
        <f t="shared" ref="J158:J159" si="330">+K158+N158</f>
        <v>633944</v>
      </c>
      <c r="K158" s="55">
        <f t="shared" ref="K158:K159" si="331">+L158+M158</f>
        <v>633944</v>
      </c>
      <c r="L158" s="58">
        <v>633944</v>
      </c>
      <c r="M158" s="58">
        <v>0</v>
      </c>
      <c r="N158" s="55">
        <f t="shared" ref="N158:N159" si="332">+O158+P158</f>
        <v>0</v>
      </c>
      <c r="O158" s="58"/>
      <c r="P158" s="58"/>
    </row>
    <row r="159" spans="1:16" ht="78.75" x14ac:dyDescent="0.25">
      <c r="A159" s="116"/>
      <c r="B159" s="116" t="s">
        <v>77</v>
      </c>
      <c r="C159" s="55">
        <f t="shared" si="327"/>
        <v>0</v>
      </c>
      <c r="D159" s="55">
        <f t="shared" si="328"/>
        <v>0</v>
      </c>
      <c r="E159" s="58"/>
      <c r="F159" s="58"/>
      <c r="G159" s="55">
        <f t="shared" si="329"/>
        <v>0</v>
      </c>
      <c r="H159" s="58"/>
      <c r="I159" s="58"/>
      <c r="J159" s="55">
        <f t="shared" si="330"/>
        <v>0</v>
      </c>
      <c r="K159" s="55">
        <f t="shared" si="331"/>
        <v>0</v>
      </c>
      <c r="L159" s="58"/>
      <c r="M159" s="58"/>
      <c r="N159" s="55">
        <f t="shared" si="332"/>
        <v>0</v>
      </c>
      <c r="O159" s="58"/>
      <c r="P159" s="58"/>
    </row>
    <row r="160" spans="1:16" s="153" customFormat="1" x14ac:dyDescent="0.25">
      <c r="A160" s="118"/>
      <c r="B160" s="46" t="s">
        <v>355</v>
      </c>
      <c r="C160" s="49">
        <f t="shared" ref="C160" si="333">C161+C162</f>
        <v>1137820</v>
      </c>
      <c r="D160" s="49">
        <f t="shared" ref="D160:J160" si="334">D161+D162</f>
        <v>902745</v>
      </c>
      <c r="E160" s="48">
        <f t="shared" si="334"/>
        <v>902745</v>
      </c>
      <c r="F160" s="48">
        <f t="shared" si="334"/>
        <v>0</v>
      </c>
      <c r="G160" s="49">
        <f t="shared" ref="G160:I160" si="335">G161+G162</f>
        <v>235075</v>
      </c>
      <c r="H160" s="48">
        <f t="shared" si="335"/>
        <v>235075</v>
      </c>
      <c r="I160" s="48">
        <f t="shared" si="335"/>
        <v>0</v>
      </c>
      <c r="J160" s="49">
        <f t="shared" si="334"/>
        <v>321990</v>
      </c>
      <c r="K160" s="49">
        <f t="shared" ref="K160:P160" si="336">K161+K162</f>
        <v>321990</v>
      </c>
      <c r="L160" s="48">
        <f t="shared" si="336"/>
        <v>321990</v>
      </c>
      <c r="M160" s="48">
        <f t="shared" si="336"/>
        <v>0</v>
      </c>
      <c r="N160" s="49">
        <f t="shared" si="336"/>
        <v>0</v>
      </c>
      <c r="O160" s="48">
        <f t="shared" si="336"/>
        <v>0</v>
      </c>
      <c r="P160" s="48">
        <f t="shared" si="336"/>
        <v>0</v>
      </c>
    </row>
    <row r="161" spans="1:16" x14ac:dyDescent="0.25">
      <c r="A161" s="116"/>
      <c r="B161" s="45" t="s">
        <v>373</v>
      </c>
      <c r="C161" s="55">
        <f t="shared" ref="C161:C162" si="337">+D161+G161</f>
        <v>1130620</v>
      </c>
      <c r="D161" s="55">
        <f t="shared" ref="D161:D162" si="338">+E161+F161</f>
        <v>895545</v>
      </c>
      <c r="E161" s="58">
        <f>1130620-H161</f>
        <v>895545</v>
      </c>
      <c r="F161" s="58">
        <v>0</v>
      </c>
      <c r="G161" s="55">
        <f t="shared" ref="G161:G162" si="339">+H161+I161</f>
        <v>235075</v>
      </c>
      <c r="H161" s="58">
        <v>235075</v>
      </c>
      <c r="I161" s="58"/>
      <c r="J161" s="55">
        <f t="shared" ref="J161:J162" si="340">+K161+N161</f>
        <v>318390</v>
      </c>
      <c r="K161" s="55">
        <f t="shared" ref="K161:K162" si="341">+L161+M161</f>
        <v>318390</v>
      </c>
      <c r="L161" s="58">
        <v>318390</v>
      </c>
      <c r="M161" s="58">
        <v>0</v>
      </c>
      <c r="N161" s="55">
        <f t="shared" ref="N161:N162" si="342">+O161+P161</f>
        <v>0</v>
      </c>
      <c r="O161" s="58"/>
      <c r="P161" s="58"/>
    </row>
    <row r="162" spans="1:16" ht="78.75" x14ac:dyDescent="0.25">
      <c r="A162" s="116"/>
      <c r="B162" s="116" t="s">
        <v>77</v>
      </c>
      <c r="C162" s="55">
        <f t="shared" si="337"/>
        <v>7200</v>
      </c>
      <c r="D162" s="55">
        <f t="shared" si="338"/>
        <v>7200</v>
      </c>
      <c r="E162" s="58">
        <v>7200</v>
      </c>
      <c r="F162" s="58"/>
      <c r="G162" s="55">
        <f t="shared" si="339"/>
        <v>0</v>
      </c>
      <c r="H162" s="58"/>
      <c r="I162" s="58"/>
      <c r="J162" s="55">
        <f t="shared" si="340"/>
        <v>3600</v>
      </c>
      <c r="K162" s="55">
        <f t="shared" si="341"/>
        <v>3600</v>
      </c>
      <c r="L162" s="58">
        <v>3600</v>
      </c>
      <c r="M162" s="58"/>
      <c r="N162" s="55">
        <f t="shared" si="342"/>
        <v>0</v>
      </c>
      <c r="O162" s="58"/>
      <c r="P162" s="58"/>
    </row>
    <row r="163" spans="1:16" s="153" customFormat="1" ht="31.5" x14ac:dyDescent="0.25">
      <c r="A163" s="118"/>
      <c r="B163" s="46" t="s">
        <v>375</v>
      </c>
      <c r="C163" s="49">
        <f t="shared" ref="C163" si="343">C164+C165</f>
        <v>0</v>
      </c>
      <c r="D163" s="49">
        <f t="shared" ref="D163:J163" si="344">D164+D165</f>
        <v>0</v>
      </c>
      <c r="E163" s="48">
        <f t="shared" si="344"/>
        <v>0</v>
      </c>
      <c r="F163" s="48">
        <f t="shared" si="344"/>
        <v>0</v>
      </c>
      <c r="G163" s="49">
        <f t="shared" ref="G163:I163" si="345">G164+G165</f>
        <v>0</v>
      </c>
      <c r="H163" s="48">
        <f t="shared" si="345"/>
        <v>0</v>
      </c>
      <c r="I163" s="48">
        <f t="shared" si="345"/>
        <v>0</v>
      </c>
      <c r="J163" s="49">
        <f t="shared" si="344"/>
        <v>0</v>
      </c>
      <c r="K163" s="49">
        <f t="shared" ref="K163:P163" si="346">K164+K165</f>
        <v>0</v>
      </c>
      <c r="L163" s="48">
        <f t="shared" si="346"/>
        <v>0</v>
      </c>
      <c r="M163" s="48">
        <f t="shared" si="346"/>
        <v>0</v>
      </c>
      <c r="N163" s="49">
        <f t="shared" si="346"/>
        <v>0</v>
      </c>
      <c r="O163" s="48">
        <f t="shared" si="346"/>
        <v>0</v>
      </c>
      <c r="P163" s="48">
        <f t="shared" si="346"/>
        <v>0</v>
      </c>
    </row>
    <row r="164" spans="1:16" x14ac:dyDescent="0.25">
      <c r="A164" s="116"/>
      <c r="B164" s="45" t="s">
        <v>373</v>
      </c>
      <c r="C164" s="55">
        <f t="shared" ref="C164:C167" si="347">+D164+G164</f>
        <v>0</v>
      </c>
      <c r="D164" s="55">
        <f t="shared" ref="D164:D167" si="348">+E164+F164</f>
        <v>0</v>
      </c>
      <c r="E164" s="58"/>
      <c r="F164" s="58"/>
      <c r="G164" s="55">
        <f t="shared" ref="G164:G167" si="349">+H164+I164</f>
        <v>0</v>
      </c>
      <c r="H164" s="58"/>
      <c r="I164" s="58"/>
      <c r="J164" s="55">
        <f t="shared" ref="J164:J167" si="350">+K164+N164</f>
        <v>0</v>
      </c>
      <c r="K164" s="55">
        <f t="shared" ref="K164:K167" si="351">+L164+M164</f>
        <v>0</v>
      </c>
      <c r="L164" s="58"/>
      <c r="M164" s="58"/>
      <c r="N164" s="55">
        <f t="shared" ref="N164:N167" si="352">+O164+P164</f>
        <v>0</v>
      </c>
      <c r="O164" s="58"/>
      <c r="P164" s="58"/>
    </row>
    <row r="165" spans="1:16" ht="78.75" x14ac:dyDescent="0.25">
      <c r="A165" s="116"/>
      <c r="B165" s="116" t="s">
        <v>77</v>
      </c>
      <c r="C165" s="55">
        <f t="shared" si="347"/>
        <v>0</v>
      </c>
      <c r="D165" s="55">
        <f t="shared" si="348"/>
        <v>0</v>
      </c>
      <c r="E165" s="58"/>
      <c r="F165" s="58"/>
      <c r="G165" s="55">
        <f t="shared" si="349"/>
        <v>0</v>
      </c>
      <c r="H165" s="58"/>
      <c r="I165" s="58"/>
      <c r="J165" s="55">
        <f t="shared" si="350"/>
        <v>0</v>
      </c>
      <c r="K165" s="55">
        <f t="shared" si="351"/>
        <v>0</v>
      </c>
      <c r="L165" s="58"/>
      <c r="M165" s="58"/>
      <c r="N165" s="55">
        <f t="shared" si="352"/>
        <v>0</v>
      </c>
      <c r="O165" s="58"/>
      <c r="P165" s="58"/>
    </row>
    <row r="166" spans="1:16" s="153" customFormat="1" ht="31.5" x14ac:dyDescent="0.25">
      <c r="A166" s="118"/>
      <c r="B166" s="46" t="s">
        <v>356</v>
      </c>
      <c r="C166" s="55">
        <f t="shared" si="347"/>
        <v>0</v>
      </c>
      <c r="D166" s="55">
        <f t="shared" si="348"/>
        <v>0</v>
      </c>
      <c r="E166" s="58"/>
      <c r="F166" s="58"/>
      <c r="G166" s="55">
        <f t="shared" si="349"/>
        <v>0</v>
      </c>
      <c r="H166" s="58"/>
      <c r="I166" s="58"/>
      <c r="J166" s="55">
        <f t="shared" si="350"/>
        <v>0</v>
      </c>
      <c r="K166" s="55">
        <f t="shared" si="351"/>
        <v>0</v>
      </c>
      <c r="L166" s="58"/>
      <c r="M166" s="58"/>
      <c r="N166" s="55">
        <f t="shared" si="352"/>
        <v>0</v>
      </c>
      <c r="O166" s="58"/>
      <c r="P166" s="58"/>
    </row>
    <row r="167" spans="1:16" s="153" customFormat="1" x14ac:dyDescent="0.25">
      <c r="A167" s="118"/>
      <c r="B167" s="46" t="s">
        <v>376</v>
      </c>
      <c r="C167" s="55">
        <f t="shared" si="347"/>
        <v>0</v>
      </c>
      <c r="D167" s="55">
        <f t="shared" si="348"/>
        <v>0</v>
      </c>
      <c r="E167" s="58"/>
      <c r="F167" s="58"/>
      <c r="G167" s="55">
        <f t="shared" si="349"/>
        <v>0</v>
      </c>
      <c r="H167" s="58"/>
      <c r="I167" s="58"/>
      <c r="J167" s="55">
        <f t="shared" si="350"/>
        <v>0</v>
      </c>
      <c r="K167" s="55">
        <f t="shared" si="351"/>
        <v>0</v>
      </c>
      <c r="L167" s="58"/>
      <c r="M167" s="58"/>
      <c r="N167" s="55">
        <f t="shared" si="352"/>
        <v>0</v>
      </c>
      <c r="O167" s="58"/>
      <c r="P167" s="58"/>
    </row>
    <row r="168" spans="1:16" s="153" customFormat="1" x14ac:dyDescent="0.25">
      <c r="A168" s="118"/>
      <c r="B168" s="46" t="s">
        <v>377</v>
      </c>
      <c r="C168" s="49">
        <f t="shared" ref="C168" si="353">C169+C170</f>
        <v>12402510</v>
      </c>
      <c r="D168" s="49">
        <f t="shared" ref="D168:J168" si="354">D169+D170</f>
        <v>8809756</v>
      </c>
      <c r="E168" s="48">
        <f t="shared" si="354"/>
        <v>8809756</v>
      </c>
      <c r="F168" s="48">
        <f t="shared" si="354"/>
        <v>0</v>
      </c>
      <c r="G168" s="49">
        <f t="shared" ref="G168:I168" si="355">G169+G170</f>
        <v>3592754</v>
      </c>
      <c r="H168" s="48">
        <f t="shared" si="355"/>
        <v>3592754</v>
      </c>
      <c r="I168" s="48">
        <f t="shared" si="355"/>
        <v>0</v>
      </c>
      <c r="J168" s="49">
        <f t="shared" si="354"/>
        <v>288393</v>
      </c>
      <c r="K168" s="49">
        <f t="shared" ref="K168:P168" si="356">K169+K170</f>
        <v>288393</v>
      </c>
      <c r="L168" s="48">
        <f t="shared" si="356"/>
        <v>288393</v>
      </c>
      <c r="M168" s="48">
        <f t="shared" si="356"/>
        <v>0</v>
      </c>
      <c r="N168" s="49">
        <f t="shared" si="356"/>
        <v>0</v>
      </c>
      <c r="O168" s="48">
        <f t="shared" si="356"/>
        <v>0</v>
      </c>
      <c r="P168" s="48">
        <f t="shared" si="356"/>
        <v>0</v>
      </c>
    </row>
    <row r="169" spans="1:16" x14ac:dyDescent="0.25">
      <c r="A169" s="116"/>
      <c r="B169" s="45" t="s">
        <v>373</v>
      </c>
      <c r="C169" s="55">
        <f t="shared" ref="C169:C171" si="357">+D169+G169</f>
        <v>12402510</v>
      </c>
      <c r="D169" s="55">
        <f t="shared" ref="D169:D171" si="358">+E169+F169</f>
        <v>8809756</v>
      </c>
      <c r="E169" s="58">
        <f>12402510-H169</f>
        <v>8809756</v>
      </c>
      <c r="F169" s="58">
        <v>0</v>
      </c>
      <c r="G169" s="55">
        <f t="shared" ref="G169:G171" si="359">+H169+I169</f>
        <v>3592754</v>
      </c>
      <c r="H169" s="58">
        <v>3592754</v>
      </c>
      <c r="I169" s="58">
        <v>0</v>
      </c>
      <c r="J169" s="55">
        <f t="shared" ref="J169:J171" si="360">+K169+N169</f>
        <v>288393</v>
      </c>
      <c r="K169" s="55">
        <f t="shared" ref="K169:K171" si="361">+L169+M169</f>
        <v>288393</v>
      </c>
      <c r="L169" s="58">
        <v>288393</v>
      </c>
      <c r="M169" s="58"/>
      <c r="N169" s="55">
        <f t="shared" ref="N169:N171" si="362">+O169+P169</f>
        <v>0</v>
      </c>
      <c r="O169" s="58"/>
      <c r="P169" s="58"/>
    </row>
    <row r="170" spans="1:16" ht="78.75" x14ac:dyDescent="0.25">
      <c r="A170" s="116"/>
      <c r="B170" s="116" t="s">
        <v>77</v>
      </c>
      <c r="C170" s="55">
        <f t="shared" si="357"/>
        <v>0</v>
      </c>
      <c r="D170" s="55">
        <f t="shared" si="358"/>
        <v>0</v>
      </c>
      <c r="E170" s="58"/>
      <c r="F170" s="58"/>
      <c r="G170" s="55">
        <f t="shared" si="359"/>
        <v>0</v>
      </c>
      <c r="H170" s="58"/>
      <c r="I170" s="58"/>
      <c r="J170" s="55">
        <f t="shared" si="360"/>
        <v>0</v>
      </c>
      <c r="K170" s="55">
        <f t="shared" si="361"/>
        <v>0</v>
      </c>
      <c r="L170" s="58"/>
      <c r="M170" s="58"/>
      <c r="N170" s="55">
        <f t="shared" si="362"/>
        <v>0</v>
      </c>
      <c r="O170" s="58"/>
      <c r="P170" s="58"/>
    </row>
    <row r="171" spans="1:16" s="153" customFormat="1" ht="47.25" x14ac:dyDescent="0.25">
      <c r="A171" s="118"/>
      <c r="B171" s="46" t="s">
        <v>360</v>
      </c>
      <c r="C171" s="55">
        <f t="shared" si="357"/>
        <v>0</v>
      </c>
      <c r="D171" s="55">
        <f t="shared" si="358"/>
        <v>0</v>
      </c>
      <c r="E171" s="58"/>
      <c r="F171" s="58"/>
      <c r="G171" s="55">
        <f t="shared" si="359"/>
        <v>0</v>
      </c>
      <c r="H171" s="58"/>
      <c r="I171" s="58"/>
      <c r="J171" s="55">
        <f t="shared" si="360"/>
        <v>0</v>
      </c>
      <c r="K171" s="55">
        <f t="shared" si="361"/>
        <v>0</v>
      </c>
      <c r="L171" s="58"/>
      <c r="M171" s="58"/>
      <c r="N171" s="55">
        <f t="shared" si="362"/>
        <v>0</v>
      </c>
      <c r="O171" s="58"/>
      <c r="P171" s="58"/>
    </row>
    <row r="172" spans="1:16" s="153" customFormat="1" ht="31.5" x14ac:dyDescent="0.25">
      <c r="A172" s="118"/>
      <c r="B172" s="46" t="s">
        <v>351</v>
      </c>
      <c r="C172" s="49">
        <f t="shared" ref="C172" si="363">C173+C174</f>
        <v>0</v>
      </c>
      <c r="D172" s="49">
        <f t="shared" ref="D172:J172" si="364">D173+D174</f>
        <v>0</v>
      </c>
      <c r="E172" s="48">
        <f t="shared" si="364"/>
        <v>0</v>
      </c>
      <c r="F172" s="48">
        <f t="shared" si="364"/>
        <v>0</v>
      </c>
      <c r="G172" s="49">
        <f t="shared" ref="G172:I172" si="365">G173+G174</f>
        <v>0</v>
      </c>
      <c r="H172" s="48">
        <f t="shared" si="365"/>
        <v>0</v>
      </c>
      <c r="I172" s="48">
        <f t="shared" si="365"/>
        <v>0</v>
      </c>
      <c r="J172" s="49">
        <f t="shared" si="364"/>
        <v>0</v>
      </c>
      <c r="K172" s="49">
        <f t="shared" ref="K172:P172" si="366">K173+K174</f>
        <v>0</v>
      </c>
      <c r="L172" s="48">
        <f t="shared" si="366"/>
        <v>0</v>
      </c>
      <c r="M172" s="48">
        <f t="shared" si="366"/>
        <v>0</v>
      </c>
      <c r="N172" s="49">
        <f t="shared" si="366"/>
        <v>0</v>
      </c>
      <c r="O172" s="48">
        <f t="shared" si="366"/>
        <v>0</v>
      </c>
      <c r="P172" s="48">
        <f t="shared" si="366"/>
        <v>0</v>
      </c>
    </row>
    <row r="173" spans="1:16" x14ac:dyDescent="0.25">
      <c r="A173" s="116"/>
      <c r="B173" s="45" t="s">
        <v>373</v>
      </c>
      <c r="C173" s="55">
        <f t="shared" ref="C173:C174" si="367">+D173+G173</f>
        <v>0</v>
      </c>
      <c r="D173" s="55">
        <f t="shared" ref="D173:D174" si="368">+E173+F173</f>
        <v>0</v>
      </c>
      <c r="E173" s="58"/>
      <c r="F173" s="58"/>
      <c r="G173" s="55">
        <f t="shared" ref="G173:G174" si="369">+H173+I173</f>
        <v>0</v>
      </c>
      <c r="H173" s="58"/>
      <c r="I173" s="58"/>
      <c r="J173" s="55">
        <f t="shared" ref="J173:J174" si="370">+K173+N173</f>
        <v>0</v>
      </c>
      <c r="K173" s="55">
        <f t="shared" ref="K173:K174" si="371">+L173+M173</f>
        <v>0</v>
      </c>
      <c r="L173" s="58"/>
      <c r="M173" s="58"/>
      <c r="N173" s="55">
        <f t="shared" ref="N173:N174" si="372">+O173+P173</f>
        <v>0</v>
      </c>
      <c r="O173" s="58"/>
      <c r="P173" s="58"/>
    </row>
    <row r="174" spans="1:16" ht="78.75" x14ac:dyDescent="0.25">
      <c r="A174" s="116"/>
      <c r="B174" s="116" t="s">
        <v>77</v>
      </c>
      <c r="C174" s="55">
        <f t="shared" si="367"/>
        <v>0</v>
      </c>
      <c r="D174" s="55">
        <f t="shared" si="368"/>
        <v>0</v>
      </c>
      <c r="E174" s="58"/>
      <c r="F174" s="58"/>
      <c r="G174" s="55">
        <f t="shared" si="369"/>
        <v>0</v>
      </c>
      <c r="H174" s="58"/>
      <c r="I174" s="58"/>
      <c r="J174" s="55">
        <f t="shared" si="370"/>
        <v>0</v>
      </c>
      <c r="K174" s="55">
        <f t="shared" si="371"/>
        <v>0</v>
      </c>
      <c r="L174" s="58"/>
      <c r="M174" s="58"/>
      <c r="N174" s="55">
        <f t="shared" si="372"/>
        <v>0</v>
      </c>
      <c r="O174" s="58"/>
      <c r="P174" s="58"/>
    </row>
    <row r="175" spans="1:16" ht="31.5" x14ac:dyDescent="0.25">
      <c r="A175" s="116"/>
      <c r="B175" s="46" t="s">
        <v>357</v>
      </c>
      <c r="C175" s="49">
        <f t="shared" ref="C175" si="373">C176+C179+C180+C183</f>
        <v>423948</v>
      </c>
      <c r="D175" s="49">
        <f t="shared" ref="D175:J175" si="374">D176+D179+D180+D183</f>
        <v>285491</v>
      </c>
      <c r="E175" s="48">
        <f t="shared" si="374"/>
        <v>285491</v>
      </c>
      <c r="F175" s="48">
        <f t="shared" si="374"/>
        <v>0</v>
      </c>
      <c r="G175" s="49">
        <f t="shared" ref="G175:I175" si="375">G176+G179+G180+G183</f>
        <v>138457</v>
      </c>
      <c r="H175" s="48">
        <f t="shared" si="375"/>
        <v>138457</v>
      </c>
      <c r="I175" s="48">
        <f t="shared" si="375"/>
        <v>0</v>
      </c>
      <c r="J175" s="49">
        <f t="shared" si="374"/>
        <v>23707</v>
      </c>
      <c r="K175" s="49">
        <f t="shared" ref="K175:P175" si="376">K176+K179+K180+K183</f>
        <v>23707</v>
      </c>
      <c r="L175" s="48">
        <f t="shared" si="376"/>
        <v>23707</v>
      </c>
      <c r="M175" s="48">
        <f t="shared" si="376"/>
        <v>0</v>
      </c>
      <c r="N175" s="49">
        <f t="shared" si="376"/>
        <v>0</v>
      </c>
      <c r="O175" s="48">
        <f t="shared" si="376"/>
        <v>0</v>
      </c>
      <c r="P175" s="48">
        <f t="shared" si="376"/>
        <v>0</v>
      </c>
    </row>
    <row r="176" spans="1:16" s="153" customFormat="1" x14ac:dyDescent="0.25">
      <c r="A176" s="118"/>
      <c r="B176" s="46" t="s">
        <v>378</v>
      </c>
      <c r="C176" s="49">
        <f t="shared" ref="C176" si="377">C177+C178</f>
        <v>423948</v>
      </c>
      <c r="D176" s="49">
        <f t="shared" ref="D176:J176" si="378">D177+D178</f>
        <v>285491</v>
      </c>
      <c r="E176" s="48">
        <f t="shared" si="378"/>
        <v>285491</v>
      </c>
      <c r="F176" s="48">
        <f t="shared" si="378"/>
        <v>0</v>
      </c>
      <c r="G176" s="49">
        <f t="shared" ref="G176:I176" si="379">G177+G178</f>
        <v>138457</v>
      </c>
      <c r="H176" s="48">
        <f t="shared" si="379"/>
        <v>138457</v>
      </c>
      <c r="I176" s="48">
        <f t="shared" si="379"/>
        <v>0</v>
      </c>
      <c r="J176" s="49">
        <f t="shared" si="378"/>
        <v>23707</v>
      </c>
      <c r="K176" s="49">
        <f t="shared" ref="K176:P176" si="380">K177+K178</f>
        <v>23707</v>
      </c>
      <c r="L176" s="48">
        <f t="shared" si="380"/>
        <v>23707</v>
      </c>
      <c r="M176" s="48">
        <f t="shared" si="380"/>
        <v>0</v>
      </c>
      <c r="N176" s="49">
        <f t="shared" si="380"/>
        <v>0</v>
      </c>
      <c r="O176" s="48">
        <f t="shared" si="380"/>
        <v>0</v>
      </c>
      <c r="P176" s="48">
        <f t="shared" si="380"/>
        <v>0</v>
      </c>
    </row>
    <row r="177" spans="1:16" x14ac:dyDescent="0.25">
      <c r="A177" s="116"/>
      <c r="B177" s="45" t="s">
        <v>373</v>
      </c>
      <c r="C177" s="55">
        <f t="shared" ref="C177:C179" si="381">+D177+G177</f>
        <v>423948</v>
      </c>
      <c r="D177" s="55">
        <f t="shared" ref="D177:D179" si="382">+E177+F177</f>
        <v>285491</v>
      </c>
      <c r="E177" s="58">
        <f>423948-H177</f>
        <v>285491</v>
      </c>
      <c r="F177" s="58"/>
      <c r="G177" s="55">
        <f t="shared" ref="G177:G179" si="383">+H177+I177</f>
        <v>138457</v>
      </c>
      <c r="H177" s="58">
        <v>138457</v>
      </c>
      <c r="I177" s="58"/>
      <c r="J177" s="55">
        <f t="shared" ref="J177:J179" si="384">+K177+N177</f>
        <v>23707</v>
      </c>
      <c r="K177" s="55">
        <f t="shared" ref="K177:K179" si="385">+L177+M177</f>
        <v>23707</v>
      </c>
      <c r="L177" s="58">
        <v>23707</v>
      </c>
      <c r="M177" s="58">
        <v>0</v>
      </c>
      <c r="N177" s="55">
        <f t="shared" ref="N177:N179" si="386">+O177+P177</f>
        <v>0</v>
      </c>
      <c r="O177" s="58"/>
      <c r="P177" s="58"/>
    </row>
    <row r="178" spans="1:16" ht="78.75" x14ac:dyDescent="0.25">
      <c r="A178" s="116"/>
      <c r="B178" s="116" t="s">
        <v>77</v>
      </c>
      <c r="C178" s="55">
        <f t="shared" si="381"/>
        <v>0</v>
      </c>
      <c r="D178" s="55">
        <f t="shared" si="382"/>
        <v>0</v>
      </c>
      <c r="E178" s="58"/>
      <c r="F178" s="58"/>
      <c r="G178" s="55">
        <f t="shared" si="383"/>
        <v>0</v>
      </c>
      <c r="H178" s="58"/>
      <c r="I178" s="58"/>
      <c r="J178" s="55">
        <f t="shared" si="384"/>
        <v>0</v>
      </c>
      <c r="K178" s="55">
        <f t="shared" si="385"/>
        <v>0</v>
      </c>
      <c r="L178" s="58"/>
      <c r="M178" s="58"/>
      <c r="N178" s="55">
        <f t="shared" si="386"/>
        <v>0</v>
      </c>
      <c r="O178" s="58"/>
      <c r="P178" s="58"/>
    </row>
    <row r="179" spans="1:16" s="153" customFormat="1" ht="31.5" x14ac:dyDescent="0.25">
      <c r="A179" s="118"/>
      <c r="B179" s="46" t="s">
        <v>379</v>
      </c>
      <c r="C179" s="55">
        <f t="shared" si="381"/>
        <v>0</v>
      </c>
      <c r="D179" s="55">
        <f t="shared" si="382"/>
        <v>0</v>
      </c>
      <c r="E179" s="58"/>
      <c r="F179" s="58"/>
      <c r="G179" s="55">
        <f t="shared" si="383"/>
        <v>0</v>
      </c>
      <c r="H179" s="58"/>
      <c r="I179" s="58"/>
      <c r="J179" s="55">
        <f t="shared" si="384"/>
        <v>0</v>
      </c>
      <c r="K179" s="55">
        <f t="shared" si="385"/>
        <v>0</v>
      </c>
      <c r="L179" s="58"/>
      <c r="M179" s="58"/>
      <c r="N179" s="55">
        <f t="shared" si="386"/>
        <v>0</v>
      </c>
      <c r="O179" s="58"/>
      <c r="P179" s="58"/>
    </row>
    <row r="180" spans="1:16" s="153" customFormat="1" ht="31.5" x14ac:dyDescent="0.25">
      <c r="A180" s="118"/>
      <c r="B180" s="46" t="s">
        <v>380</v>
      </c>
      <c r="C180" s="49">
        <f t="shared" ref="C180" si="387">C181+C182</f>
        <v>0</v>
      </c>
      <c r="D180" s="49">
        <f t="shared" ref="D180:J180" si="388">D181+D182</f>
        <v>0</v>
      </c>
      <c r="E180" s="48">
        <f t="shared" si="388"/>
        <v>0</v>
      </c>
      <c r="F180" s="48">
        <f t="shared" si="388"/>
        <v>0</v>
      </c>
      <c r="G180" s="49">
        <f t="shared" ref="G180:I180" si="389">G181+G182</f>
        <v>0</v>
      </c>
      <c r="H180" s="48">
        <f t="shared" si="389"/>
        <v>0</v>
      </c>
      <c r="I180" s="48">
        <f t="shared" si="389"/>
        <v>0</v>
      </c>
      <c r="J180" s="49">
        <f t="shared" si="388"/>
        <v>0</v>
      </c>
      <c r="K180" s="49">
        <f t="shared" ref="K180:P180" si="390">K181+K182</f>
        <v>0</v>
      </c>
      <c r="L180" s="48">
        <f t="shared" si="390"/>
        <v>0</v>
      </c>
      <c r="M180" s="48">
        <f t="shared" si="390"/>
        <v>0</v>
      </c>
      <c r="N180" s="49">
        <f t="shared" si="390"/>
        <v>0</v>
      </c>
      <c r="O180" s="48">
        <f t="shared" si="390"/>
        <v>0</v>
      </c>
      <c r="P180" s="48">
        <f t="shared" si="390"/>
        <v>0</v>
      </c>
    </row>
    <row r="181" spans="1:16" x14ac:dyDescent="0.25">
      <c r="A181" s="116"/>
      <c r="B181" s="45" t="s">
        <v>373</v>
      </c>
      <c r="C181" s="55">
        <f t="shared" ref="C181:C183" si="391">+D181+G181</f>
        <v>0</v>
      </c>
      <c r="D181" s="55">
        <f t="shared" ref="D181:D183" si="392">+E181+F181</f>
        <v>0</v>
      </c>
      <c r="E181" s="58"/>
      <c r="F181" s="58"/>
      <c r="G181" s="55">
        <f t="shared" ref="G181:G183" si="393">+H181+I181</f>
        <v>0</v>
      </c>
      <c r="H181" s="58"/>
      <c r="I181" s="58"/>
      <c r="J181" s="55">
        <f t="shared" ref="J181:J183" si="394">+K181+N181</f>
        <v>0</v>
      </c>
      <c r="K181" s="55">
        <f t="shared" ref="K181:K183" si="395">+L181+M181</f>
        <v>0</v>
      </c>
      <c r="L181" s="58"/>
      <c r="M181" s="58"/>
      <c r="N181" s="55">
        <f t="shared" ref="N181:N183" si="396">+O181+P181</f>
        <v>0</v>
      </c>
      <c r="O181" s="58"/>
      <c r="P181" s="58"/>
    </row>
    <row r="182" spans="1:16" ht="78.75" x14ac:dyDescent="0.25">
      <c r="A182" s="116"/>
      <c r="B182" s="116" t="s">
        <v>77</v>
      </c>
      <c r="C182" s="55">
        <f t="shared" si="391"/>
        <v>0</v>
      </c>
      <c r="D182" s="55">
        <f t="shared" si="392"/>
        <v>0</v>
      </c>
      <c r="E182" s="58"/>
      <c r="F182" s="58"/>
      <c r="G182" s="55">
        <f t="shared" si="393"/>
        <v>0</v>
      </c>
      <c r="H182" s="58"/>
      <c r="I182" s="58"/>
      <c r="J182" s="55">
        <f t="shared" si="394"/>
        <v>0</v>
      </c>
      <c r="K182" s="55">
        <f t="shared" si="395"/>
        <v>0</v>
      </c>
      <c r="L182" s="58"/>
      <c r="M182" s="58"/>
      <c r="N182" s="55">
        <f t="shared" si="396"/>
        <v>0</v>
      </c>
      <c r="O182" s="58"/>
      <c r="P182" s="58"/>
    </row>
    <row r="183" spans="1:16" s="153" customFormat="1" ht="31.5" x14ac:dyDescent="0.25">
      <c r="A183" s="118"/>
      <c r="B183" s="46" t="s">
        <v>381</v>
      </c>
      <c r="C183" s="55">
        <f t="shared" si="391"/>
        <v>0</v>
      </c>
      <c r="D183" s="55">
        <f t="shared" si="392"/>
        <v>0</v>
      </c>
      <c r="E183" s="58"/>
      <c r="F183" s="58"/>
      <c r="G183" s="55">
        <f t="shared" si="393"/>
        <v>0</v>
      </c>
      <c r="H183" s="58"/>
      <c r="I183" s="58"/>
      <c r="J183" s="55">
        <f t="shared" si="394"/>
        <v>0</v>
      </c>
      <c r="K183" s="55">
        <f t="shared" si="395"/>
        <v>0</v>
      </c>
      <c r="L183" s="58"/>
      <c r="M183" s="58"/>
      <c r="N183" s="55">
        <f t="shared" si="396"/>
        <v>0</v>
      </c>
      <c r="O183" s="58"/>
      <c r="P183" s="58"/>
    </row>
    <row r="184" spans="1:16" s="153" customFormat="1" ht="23.25" customHeight="1" x14ac:dyDescent="0.25">
      <c r="A184" s="144"/>
      <c r="B184" s="120" t="s">
        <v>391</v>
      </c>
      <c r="C184" s="55">
        <f t="shared" ref="C184" si="397">+D184+G184</f>
        <v>0</v>
      </c>
      <c r="D184" s="58"/>
      <c r="E184" s="58" t="s">
        <v>614</v>
      </c>
      <c r="F184" s="58" t="s">
        <v>614</v>
      </c>
      <c r="G184" s="58"/>
      <c r="H184" s="58" t="s">
        <v>614</v>
      </c>
      <c r="I184" s="58" t="s">
        <v>614</v>
      </c>
      <c r="J184" s="55">
        <f t="shared" ref="J184" si="398">+K184+N184</f>
        <v>0</v>
      </c>
      <c r="K184" s="58"/>
      <c r="L184" s="58" t="s">
        <v>614</v>
      </c>
      <c r="M184" s="58" t="s">
        <v>614</v>
      </c>
      <c r="N184" s="58"/>
      <c r="O184" s="58" t="s">
        <v>614</v>
      </c>
      <c r="P184" s="58" t="s">
        <v>614</v>
      </c>
    </row>
    <row r="185" spans="1:16" s="153" customFormat="1" ht="31.5" x14ac:dyDescent="0.25">
      <c r="A185" s="46" t="s">
        <v>306</v>
      </c>
      <c r="B185" s="46" t="s">
        <v>222</v>
      </c>
      <c r="C185" s="61">
        <f t="shared" ref="C185" si="399">C186+C187+C188</f>
        <v>34961340</v>
      </c>
      <c r="D185" s="61">
        <f t="shared" ref="D185:J185" si="400">D186+D187+D188</f>
        <v>32049559</v>
      </c>
      <c r="E185" s="65">
        <f t="shared" si="400"/>
        <v>2349144</v>
      </c>
      <c r="F185" s="65">
        <f t="shared" si="400"/>
        <v>29700415</v>
      </c>
      <c r="G185" s="61">
        <f t="shared" ref="G185:I185" si="401">G186+G187+G188</f>
        <v>2911781</v>
      </c>
      <c r="H185" s="65">
        <f t="shared" si="401"/>
        <v>210984</v>
      </c>
      <c r="I185" s="65">
        <f t="shared" si="401"/>
        <v>2700797</v>
      </c>
      <c r="J185" s="61">
        <f t="shared" si="400"/>
        <v>2790543</v>
      </c>
      <c r="K185" s="61">
        <f t="shared" ref="K185:P185" si="402">K186+K187+K188</f>
        <v>2790543</v>
      </c>
      <c r="L185" s="65">
        <f t="shared" si="402"/>
        <v>201780</v>
      </c>
      <c r="M185" s="65">
        <f t="shared" si="402"/>
        <v>2588763</v>
      </c>
      <c r="N185" s="61">
        <f t="shared" si="402"/>
        <v>0</v>
      </c>
      <c r="O185" s="65">
        <f t="shared" si="402"/>
        <v>0</v>
      </c>
      <c r="P185" s="65">
        <f t="shared" si="402"/>
        <v>0</v>
      </c>
    </row>
    <row r="186" spans="1:16" s="153" customFormat="1" x14ac:dyDescent="0.25">
      <c r="A186" s="116"/>
      <c r="B186" s="116" t="s">
        <v>75</v>
      </c>
      <c r="C186" s="55">
        <f t="shared" ref="C186:C189" si="403">+D186+G186</f>
        <v>34536867</v>
      </c>
      <c r="D186" s="55">
        <f t="shared" ref="D186:D188" si="404">+E186+F186</f>
        <v>31625086</v>
      </c>
      <c r="E186" s="58">
        <f>2560128-H186</f>
        <v>2349144</v>
      </c>
      <c r="F186" s="58">
        <f>31976739-I186</f>
        <v>29275942</v>
      </c>
      <c r="G186" s="55">
        <f t="shared" ref="G186:G188" si="405">+H186+I186</f>
        <v>2911781</v>
      </c>
      <c r="H186" s="58">
        <v>210984</v>
      </c>
      <c r="I186" s="58">
        <v>2700797</v>
      </c>
      <c r="J186" s="55">
        <f t="shared" ref="J186:J189" si="406">+K186+N186</f>
        <v>2739174</v>
      </c>
      <c r="K186" s="55">
        <f t="shared" ref="K186:K188" si="407">+L186+M186</f>
        <v>2739174</v>
      </c>
      <c r="L186" s="58">
        <v>201780</v>
      </c>
      <c r="M186" s="58">
        <v>2537394</v>
      </c>
      <c r="N186" s="55">
        <f t="shared" ref="N186:N188" si="408">+O186+P186</f>
        <v>0</v>
      </c>
      <c r="O186" s="58"/>
      <c r="P186" s="58"/>
    </row>
    <row r="187" spans="1:16" s="153" customFormat="1" ht="78.75" x14ac:dyDescent="0.25">
      <c r="A187" s="116"/>
      <c r="B187" s="116" t="s">
        <v>77</v>
      </c>
      <c r="C187" s="55">
        <f t="shared" si="403"/>
        <v>424473</v>
      </c>
      <c r="D187" s="55">
        <f t="shared" si="404"/>
        <v>424473</v>
      </c>
      <c r="E187" s="58"/>
      <c r="F187" s="58">
        <v>424473</v>
      </c>
      <c r="G187" s="55">
        <f t="shared" si="405"/>
        <v>0</v>
      </c>
      <c r="H187" s="58">
        <v>0</v>
      </c>
      <c r="I187" s="58">
        <v>0</v>
      </c>
      <c r="J187" s="55">
        <f t="shared" si="406"/>
        <v>51369</v>
      </c>
      <c r="K187" s="55">
        <f t="shared" si="407"/>
        <v>51369</v>
      </c>
      <c r="L187" s="58">
        <v>0</v>
      </c>
      <c r="M187" s="58">
        <v>51369</v>
      </c>
      <c r="N187" s="55">
        <f t="shared" si="408"/>
        <v>0</v>
      </c>
      <c r="O187" s="58"/>
      <c r="P187" s="58"/>
    </row>
    <row r="188" spans="1:16" s="153" customFormat="1" x14ac:dyDescent="0.25">
      <c r="A188" s="116"/>
      <c r="B188" s="116" t="s">
        <v>87</v>
      </c>
      <c r="C188" s="55">
        <f t="shared" si="403"/>
        <v>0</v>
      </c>
      <c r="D188" s="55">
        <f t="shared" si="404"/>
        <v>0</v>
      </c>
      <c r="E188" s="58"/>
      <c r="F188" s="58"/>
      <c r="G188" s="55">
        <f t="shared" si="405"/>
        <v>0</v>
      </c>
      <c r="H188" s="58"/>
      <c r="I188" s="58"/>
      <c r="J188" s="55">
        <f t="shared" si="406"/>
        <v>0</v>
      </c>
      <c r="K188" s="55">
        <f t="shared" si="407"/>
        <v>0</v>
      </c>
      <c r="L188" s="58"/>
      <c r="M188" s="58"/>
      <c r="N188" s="55">
        <f t="shared" si="408"/>
        <v>0</v>
      </c>
      <c r="O188" s="58"/>
      <c r="P188" s="58"/>
    </row>
    <row r="189" spans="1:16" s="153" customFormat="1" ht="31.5" x14ac:dyDescent="0.25">
      <c r="A189" s="119"/>
      <c r="B189" s="115" t="s">
        <v>391</v>
      </c>
      <c r="C189" s="55">
        <f t="shared" si="403"/>
        <v>-97517</v>
      </c>
      <c r="D189" s="58">
        <v>0</v>
      </c>
      <c r="E189" s="58" t="s">
        <v>614</v>
      </c>
      <c r="F189" s="58" t="s">
        <v>614</v>
      </c>
      <c r="G189" s="58">
        <v>-97517</v>
      </c>
      <c r="H189" s="58" t="s">
        <v>614</v>
      </c>
      <c r="I189" s="58" t="s">
        <v>614</v>
      </c>
      <c r="J189" s="55">
        <f t="shared" si="406"/>
        <v>-97517</v>
      </c>
      <c r="K189" s="58">
        <v>0</v>
      </c>
      <c r="L189" s="58" t="s">
        <v>614</v>
      </c>
      <c r="M189" s="58" t="s">
        <v>614</v>
      </c>
      <c r="N189" s="58">
        <v>-97517</v>
      </c>
      <c r="O189" s="58" t="s">
        <v>614</v>
      </c>
      <c r="P189" s="58" t="s">
        <v>614</v>
      </c>
    </row>
    <row r="190" spans="1:16" s="153" customFormat="1" ht="31.5" x14ac:dyDescent="0.25">
      <c r="A190" s="46" t="s">
        <v>307</v>
      </c>
      <c r="B190" s="46" t="s">
        <v>88</v>
      </c>
      <c r="C190" s="54">
        <f t="shared" ref="C190" si="409">C191+C192</f>
        <v>10432753</v>
      </c>
      <c r="D190" s="54">
        <f t="shared" ref="D190:J190" si="410">D191+D192</f>
        <v>9421060</v>
      </c>
      <c r="E190" s="62">
        <f t="shared" si="410"/>
        <v>0</v>
      </c>
      <c r="F190" s="62">
        <f t="shared" si="410"/>
        <v>9421060</v>
      </c>
      <c r="G190" s="54">
        <f t="shared" ref="G190:I190" si="411">G191+G192</f>
        <v>1011693</v>
      </c>
      <c r="H190" s="62">
        <f t="shared" si="411"/>
        <v>0</v>
      </c>
      <c r="I190" s="62">
        <f t="shared" si="411"/>
        <v>1011693</v>
      </c>
      <c r="J190" s="54">
        <f t="shared" si="410"/>
        <v>1100249</v>
      </c>
      <c r="K190" s="54">
        <f t="shared" ref="K190:P190" si="412">K191+K192</f>
        <v>1100249</v>
      </c>
      <c r="L190" s="62">
        <f t="shared" si="412"/>
        <v>0</v>
      </c>
      <c r="M190" s="62">
        <f t="shared" si="412"/>
        <v>1100249</v>
      </c>
      <c r="N190" s="54">
        <f t="shared" si="412"/>
        <v>0</v>
      </c>
      <c r="O190" s="62">
        <f t="shared" si="412"/>
        <v>0</v>
      </c>
      <c r="P190" s="62">
        <f t="shared" si="412"/>
        <v>0</v>
      </c>
    </row>
    <row r="191" spans="1:16" s="153" customFormat="1" x14ac:dyDescent="0.25">
      <c r="A191" s="116"/>
      <c r="B191" s="116" t="s">
        <v>75</v>
      </c>
      <c r="C191" s="55">
        <f t="shared" ref="C191:C193" si="413">+D191+G191</f>
        <v>10418000</v>
      </c>
      <c r="D191" s="55">
        <f t="shared" ref="D191:D192" si="414">+E191+F191</f>
        <v>9406307</v>
      </c>
      <c r="E191" s="58">
        <v>0</v>
      </c>
      <c r="F191" s="58">
        <f>10418000-I191</f>
        <v>9406307</v>
      </c>
      <c r="G191" s="55">
        <f t="shared" ref="G191:G192" si="415">+H191+I191</f>
        <v>1011693</v>
      </c>
      <c r="H191" s="58">
        <v>0</v>
      </c>
      <c r="I191" s="58">
        <v>1011693</v>
      </c>
      <c r="J191" s="55">
        <f t="shared" ref="J191:J193" si="416">+K191+N191</f>
        <v>1100000</v>
      </c>
      <c r="K191" s="55">
        <f t="shared" ref="K191:K192" si="417">+L191+M191</f>
        <v>1100000</v>
      </c>
      <c r="L191" s="58">
        <v>0</v>
      </c>
      <c r="M191" s="58">
        <v>1100000</v>
      </c>
      <c r="N191" s="55">
        <f t="shared" ref="N191:N192" si="418">+O191+P191</f>
        <v>0</v>
      </c>
      <c r="O191" s="58"/>
      <c r="P191" s="58"/>
    </row>
    <row r="192" spans="1:16" s="153" customFormat="1" ht="78.75" x14ac:dyDescent="0.25">
      <c r="A192" s="116"/>
      <c r="B192" s="116" t="s">
        <v>77</v>
      </c>
      <c r="C192" s="55">
        <f t="shared" si="413"/>
        <v>14753</v>
      </c>
      <c r="D192" s="55">
        <f t="shared" si="414"/>
        <v>14753</v>
      </c>
      <c r="E192" s="58">
        <v>0</v>
      </c>
      <c r="F192" s="58">
        <v>14753</v>
      </c>
      <c r="G192" s="55">
        <f t="shared" si="415"/>
        <v>0</v>
      </c>
      <c r="H192" s="58">
        <v>0</v>
      </c>
      <c r="I192" s="58">
        <v>0</v>
      </c>
      <c r="J192" s="55">
        <f t="shared" si="416"/>
        <v>249</v>
      </c>
      <c r="K192" s="55">
        <f t="shared" si="417"/>
        <v>249</v>
      </c>
      <c r="L192" s="58">
        <v>0</v>
      </c>
      <c r="M192" s="58">
        <v>249</v>
      </c>
      <c r="N192" s="55">
        <f t="shared" si="418"/>
        <v>0</v>
      </c>
      <c r="O192" s="58"/>
      <c r="P192" s="58"/>
    </row>
    <row r="193" spans="1:16" s="153" customFormat="1" ht="24.75" customHeight="1" x14ac:dyDescent="0.25">
      <c r="A193" s="119"/>
      <c r="B193" s="115" t="s">
        <v>391</v>
      </c>
      <c r="C193" s="55">
        <f t="shared" si="413"/>
        <v>0</v>
      </c>
      <c r="D193" s="58">
        <v>0</v>
      </c>
      <c r="E193" s="58" t="s">
        <v>614</v>
      </c>
      <c r="F193" s="58" t="s">
        <v>614</v>
      </c>
      <c r="G193" s="58">
        <v>0</v>
      </c>
      <c r="H193" s="58" t="s">
        <v>614</v>
      </c>
      <c r="I193" s="58" t="s">
        <v>614</v>
      </c>
      <c r="J193" s="55">
        <f t="shared" si="416"/>
        <v>0</v>
      </c>
      <c r="K193" s="58">
        <v>0</v>
      </c>
      <c r="L193" s="58" t="s">
        <v>614</v>
      </c>
      <c r="M193" s="58" t="s">
        <v>614</v>
      </c>
      <c r="N193" s="58">
        <v>0</v>
      </c>
      <c r="O193" s="58" t="s">
        <v>614</v>
      </c>
      <c r="P193" s="58" t="s">
        <v>614</v>
      </c>
    </row>
    <row r="194" spans="1:16" s="153" customFormat="1" x14ac:dyDescent="0.25">
      <c r="A194" s="46" t="s">
        <v>308</v>
      </c>
      <c r="B194" s="46" t="s">
        <v>89</v>
      </c>
      <c r="C194" s="61">
        <f t="shared" ref="C194:J194" si="419">C195+C208+C218+C225+C244</f>
        <v>230309104</v>
      </c>
      <c r="D194" s="61">
        <f t="shared" si="419"/>
        <v>213253405</v>
      </c>
      <c r="E194" s="65">
        <f t="shared" si="419"/>
        <v>45697689</v>
      </c>
      <c r="F194" s="65">
        <f t="shared" si="419"/>
        <v>167555716</v>
      </c>
      <c r="G194" s="61">
        <f t="shared" ref="G194:I194" si="420">G195+G208+G218+G225+G244</f>
        <v>17055699</v>
      </c>
      <c r="H194" s="65">
        <f t="shared" si="420"/>
        <v>3754973</v>
      </c>
      <c r="I194" s="65">
        <f t="shared" si="420"/>
        <v>13300726</v>
      </c>
      <c r="J194" s="61">
        <f t="shared" si="419"/>
        <v>20617546</v>
      </c>
      <c r="K194" s="61">
        <f t="shared" ref="K194:P194" si="421">K195+K208+K218+K225+K244</f>
        <v>20617546</v>
      </c>
      <c r="L194" s="65">
        <f t="shared" si="421"/>
        <v>4329878</v>
      </c>
      <c r="M194" s="65">
        <f t="shared" si="421"/>
        <v>16287668</v>
      </c>
      <c r="N194" s="61">
        <f t="shared" si="421"/>
        <v>0</v>
      </c>
      <c r="O194" s="65">
        <f t="shared" si="421"/>
        <v>0</v>
      </c>
      <c r="P194" s="65">
        <f t="shared" si="421"/>
        <v>0</v>
      </c>
    </row>
    <row r="195" spans="1:16" ht="31.5" x14ac:dyDescent="0.25">
      <c r="A195" s="46" t="s">
        <v>309</v>
      </c>
      <c r="B195" s="46" t="s">
        <v>90</v>
      </c>
      <c r="C195" s="61">
        <f t="shared" ref="C195" si="422">C196+C201+C202+C203+C204+C205+C206</f>
        <v>109649125</v>
      </c>
      <c r="D195" s="61">
        <f t="shared" ref="D195:J195" si="423">D196+D201+D202+D203+D204+D205+D206</f>
        <v>101851766</v>
      </c>
      <c r="E195" s="65">
        <f t="shared" si="423"/>
        <v>0</v>
      </c>
      <c r="F195" s="65">
        <f t="shared" si="423"/>
        <v>101851766</v>
      </c>
      <c r="G195" s="61">
        <f t="shared" ref="G195:I195" si="424">G196+G201+G202+G203+G204+G205+G206</f>
        <v>7797359</v>
      </c>
      <c r="H195" s="65">
        <f t="shared" si="424"/>
        <v>0</v>
      </c>
      <c r="I195" s="65">
        <f t="shared" si="424"/>
        <v>7797359</v>
      </c>
      <c r="J195" s="61">
        <f t="shared" si="423"/>
        <v>9421163</v>
      </c>
      <c r="K195" s="61">
        <f t="shared" ref="K195:P195" si="425">K196+K201+K202+K203+K204+K205+K206</f>
        <v>9421163</v>
      </c>
      <c r="L195" s="65">
        <f t="shared" si="425"/>
        <v>0</v>
      </c>
      <c r="M195" s="172">
        <f t="shared" si="425"/>
        <v>9421163</v>
      </c>
      <c r="N195" s="61">
        <f t="shared" si="425"/>
        <v>0</v>
      </c>
      <c r="O195" s="65">
        <f t="shared" si="425"/>
        <v>0</v>
      </c>
      <c r="P195" s="65">
        <f t="shared" si="425"/>
        <v>0</v>
      </c>
    </row>
    <row r="196" spans="1:16" s="153" customFormat="1" x14ac:dyDescent="0.25">
      <c r="A196" s="46"/>
      <c r="B196" s="46" t="s">
        <v>390</v>
      </c>
      <c r="C196" s="52">
        <f>+C197+C198+C199+C200</f>
        <v>105832978</v>
      </c>
      <c r="D196" s="52">
        <f t="shared" ref="D196:J196" si="426">+D197+D198+D199+D200</f>
        <v>98353002</v>
      </c>
      <c r="E196" s="52">
        <f t="shared" si="426"/>
        <v>0</v>
      </c>
      <c r="F196" s="52">
        <f t="shared" si="426"/>
        <v>98353002</v>
      </c>
      <c r="G196" s="52">
        <f t="shared" ref="G196" si="427">+G197+G198+G199+G200</f>
        <v>7479976</v>
      </c>
      <c r="H196" s="52">
        <f t="shared" ref="H196" si="428">+H197+H198+H199+H200</f>
        <v>0</v>
      </c>
      <c r="I196" s="52">
        <f t="shared" ref="I196" si="429">+I197+I198+I199+I200</f>
        <v>7479976</v>
      </c>
      <c r="J196" s="52">
        <f t="shared" si="426"/>
        <v>9103266</v>
      </c>
      <c r="K196" s="52">
        <f t="shared" ref="K196" si="430">+K197+K198+K199+K200</f>
        <v>9103266</v>
      </c>
      <c r="L196" s="52">
        <f t="shared" ref="L196" si="431">+L197+L198+L199+L200</f>
        <v>0</v>
      </c>
      <c r="M196" s="52">
        <f t="shared" ref="M196" si="432">+M197+M198+M199+M200</f>
        <v>9103266</v>
      </c>
      <c r="N196" s="52">
        <f t="shared" ref="N196" si="433">+N197+N198+N199+N200</f>
        <v>0</v>
      </c>
      <c r="O196" s="52">
        <f t="shared" ref="O196" si="434">+O197+O198+O199+O200</f>
        <v>0</v>
      </c>
      <c r="P196" s="52">
        <f t="shared" ref="P196" si="435">+P197+P198+P199+P200</f>
        <v>0</v>
      </c>
    </row>
    <row r="197" spans="1:16" x14ac:dyDescent="0.25">
      <c r="A197" s="130"/>
      <c r="B197" s="121" t="s">
        <v>387</v>
      </c>
      <c r="C197" s="55">
        <f t="shared" ref="C197:C207" si="436">+D197+G197</f>
        <v>41355823</v>
      </c>
      <c r="D197" s="55">
        <f t="shared" ref="D197:D206" si="437">+E197+F197</f>
        <v>37830144</v>
      </c>
      <c r="E197" s="58"/>
      <c r="F197" s="58">
        <f>41355823-G197</f>
        <v>37830144</v>
      </c>
      <c r="G197" s="55">
        <f t="shared" ref="G197:G206" si="438">+H197+I197</f>
        <v>3525679</v>
      </c>
      <c r="H197" s="58"/>
      <c r="I197" s="58">
        <v>3525679</v>
      </c>
      <c r="J197" s="55">
        <f t="shared" ref="J197:J207" si="439">+K197+N197</f>
        <v>3365137</v>
      </c>
      <c r="K197" s="55">
        <f t="shared" ref="K197:K206" si="440">+L197+M197</f>
        <v>3365137</v>
      </c>
      <c r="L197" s="58"/>
      <c r="M197" s="58">
        <v>3365137</v>
      </c>
      <c r="N197" s="55">
        <f t="shared" ref="N197:N206" si="441">+O197+P197</f>
        <v>0</v>
      </c>
      <c r="O197" s="58">
        <v>0</v>
      </c>
      <c r="P197" s="58"/>
    </row>
    <row r="198" spans="1:16" x14ac:dyDescent="0.25">
      <c r="A198" s="130"/>
      <c r="B198" s="122" t="s">
        <v>388</v>
      </c>
      <c r="C198" s="55">
        <f t="shared" si="436"/>
        <v>64245730</v>
      </c>
      <c r="D198" s="55">
        <f t="shared" si="437"/>
        <v>60291433</v>
      </c>
      <c r="E198" s="58"/>
      <c r="F198" s="58">
        <f>64245730-G198</f>
        <v>60291433</v>
      </c>
      <c r="G198" s="55">
        <f t="shared" si="438"/>
        <v>3954297</v>
      </c>
      <c r="H198" s="58"/>
      <c r="I198" s="58">
        <v>3954297</v>
      </c>
      <c r="J198" s="55">
        <f t="shared" si="439"/>
        <v>5738129</v>
      </c>
      <c r="K198" s="55">
        <f t="shared" si="440"/>
        <v>5738129</v>
      </c>
      <c r="L198" s="58"/>
      <c r="M198" s="58">
        <v>5738129</v>
      </c>
      <c r="N198" s="55">
        <f t="shared" si="441"/>
        <v>0</v>
      </c>
      <c r="O198" s="58"/>
      <c r="P198" s="58"/>
    </row>
    <row r="199" spans="1:16" x14ac:dyDescent="0.25">
      <c r="A199" s="130"/>
      <c r="B199" s="122" t="s">
        <v>389</v>
      </c>
      <c r="C199" s="55">
        <f t="shared" si="436"/>
        <v>231425</v>
      </c>
      <c r="D199" s="55">
        <f t="shared" si="437"/>
        <v>231425</v>
      </c>
      <c r="E199" s="58"/>
      <c r="F199" s="58">
        <v>231425</v>
      </c>
      <c r="G199" s="55">
        <f t="shared" si="438"/>
        <v>0</v>
      </c>
      <c r="H199" s="58"/>
      <c r="I199" s="58"/>
      <c r="J199" s="55">
        <f t="shared" si="439"/>
        <v>0</v>
      </c>
      <c r="K199" s="55">
        <f t="shared" si="440"/>
        <v>0</v>
      </c>
      <c r="L199" s="58"/>
      <c r="M199" s="58">
        <v>0</v>
      </c>
      <c r="N199" s="55">
        <f t="shared" si="441"/>
        <v>0</v>
      </c>
      <c r="O199" s="58"/>
      <c r="P199" s="58"/>
    </row>
    <row r="200" spans="1:16" x14ac:dyDescent="0.25">
      <c r="A200" s="130"/>
      <c r="B200" s="122" t="s">
        <v>615</v>
      </c>
      <c r="C200" s="55">
        <f t="shared" ref="C200" si="442">+D200+G200</f>
        <v>0</v>
      </c>
      <c r="D200" s="55">
        <f t="shared" ref="D200" si="443">+E200+F200</f>
        <v>0</v>
      </c>
      <c r="E200" s="58"/>
      <c r="F200" s="58">
        <v>0</v>
      </c>
      <c r="G200" s="55">
        <f t="shared" si="438"/>
        <v>0</v>
      </c>
      <c r="H200" s="58"/>
      <c r="I200" s="58"/>
      <c r="J200" s="55">
        <f t="shared" ref="J200" si="444">+K200+N200</f>
        <v>0</v>
      </c>
      <c r="K200" s="55">
        <f t="shared" si="440"/>
        <v>0</v>
      </c>
      <c r="L200" s="58"/>
      <c r="M200" s="58"/>
      <c r="N200" s="55">
        <f t="shared" si="441"/>
        <v>0</v>
      </c>
      <c r="O200" s="58"/>
      <c r="P200" s="58"/>
    </row>
    <row r="201" spans="1:16" s="87" customFormat="1" x14ac:dyDescent="0.25">
      <c r="A201" s="45"/>
      <c r="B201" s="45" t="s">
        <v>91</v>
      </c>
      <c r="C201" s="55">
        <f t="shared" si="436"/>
        <v>3682802</v>
      </c>
      <c r="D201" s="55">
        <f t="shared" si="437"/>
        <v>3373338</v>
      </c>
      <c r="E201" s="58"/>
      <c r="F201" s="58">
        <f>3682802-G201</f>
        <v>3373338</v>
      </c>
      <c r="G201" s="55">
        <f t="shared" si="438"/>
        <v>309464</v>
      </c>
      <c r="H201" s="58"/>
      <c r="I201" s="58">
        <v>309464</v>
      </c>
      <c r="J201" s="55">
        <f t="shared" si="439"/>
        <v>304364</v>
      </c>
      <c r="K201" s="55">
        <f t="shared" si="440"/>
        <v>304364</v>
      </c>
      <c r="L201" s="58"/>
      <c r="M201" s="58">
        <v>304364</v>
      </c>
      <c r="N201" s="55">
        <f t="shared" si="441"/>
        <v>0</v>
      </c>
      <c r="O201" s="58"/>
      <c r="P201" s="58"/>
    </row>
    <row r="202" spans="1:16" ht="47.25" x14ac:dyDescent="0.25">
      <c r="A202" s="45"/>
      <c r="B202" s="45" t="s">
        <v>92</v>
      </c>
      <c r="C202" s="55">
        <f t="shared" si="436"/>
        <v>0</v>
      </c>
      <c r="D202" s="55">
        <f t="shared" si="437"/>
        <v>0</v>
      </c>
      <c r="E202" s="58"/>
      <c r="F202" s="58"/>
      <c r="G202" s="55">
        <f t="shared" si="438"/>
        <v>0</v>
      </c>
      <c r="H202" s="58"/>
      <c r="I202" s="58"/>
      <c r="J202" s="55">
        <f t="shared" si="439"/>
        <v>0</v>
      </c>
      <c r="K202" s="55">
        <f t="shared" si="440"/>
        <v>0</v>
      </c>
      <c r="L202" s="58"/>
      <c r="M202" s="58"/>
      <c r="N202" s="55">
        <f t="shared" si="441"/>
        <v>0</v>
      </c>
      <c r="O202" s="58"/>
      <c r="P202" s="58"/>
    </row>
    <row r="203" spans="1:16" s="157" customFormat="1" ht="47.25" x14ac:dyDescent="0.25">
      <c r="A203" s="45"/>
      <c r="B203" s="45" t="s">
        <v>93</v>
      </c>
      <c r="C203" s="55">
        <f t="shared" si="436"/>
        <v>0</v>
      </c>
      <c r="D203" s="55">
        <f t="shared" si="437"/>
        <v>0</v>
      </c>
      <c r="E203" s="58"/>
      <c r="F203" s="58"/>
      <c r="G203" s="55">
        <f t="shared" si="438"/>
        <v>0</v>
      </c>
      <c r="H203" s="58"/>
      <c r="I203" s="58"/>
      <c r="J203" s="55">
        <f t="shared" si="439"/>
        <v>0</v>
      </c>
      <c r="K203" s="55">
        <f t="shared" si="440"/>
        <v>0</v>
      </c>
      <c r="L203" s="58"/>
      <c r="M203" s="58"/>
      <c r="N203" s="55">
        <f t="shared" si="441"/>
        <v>0</v>
      </c>
      <c r="O203" s="58"/>
      <c r="P203" s="58"/>
    </row>
    <row r="204" spans="1:16" s="157" customFormat="1" ht="78.75" x14ac:dyDescent="0.25">
      <c r="A204" s="116"/>
      <c r="B204" s="116" t="s">
        <v>77</v>
      </c>
      <c r="C204" s="55">
        <f t="shared" si="436"/>
        <v>25524</v>
      </c>
      <c r="D204" s="55">
        <f t="shared" si="437"/>
        <v>25524</v>
      </c>
      <c r="E204" s="58"/>
      <c r="F204" s="58">
        <v>25524</v>
      </c>
      <c r="G204" s="55">
        <f t="shared" si="438"/>
        <v>0</v>
      </c>
      <c r="H204" s="58"/>
      <c r="I204" s="58">
        <v>0</v>
      </c>
      <c r="J204" s="55">
        <f t="shared" si="439"/>
        <v>2375</v>
      </c>
      <c r="K204" s="55">
        <f t="shared" si="440"/>
        <v>2375</v>
      </c>
      <c r="L204" s="58"/>
      <c r="M204" s="58">
        <v>2375</v>
      </c>
      <c r="N204" s="55">
        <f t="shared" si="441"/>
        <v>0</v>
      </c>
      <c r="O204" s="58"/>
      <c r="P204" s="58"/>
    </row>
    <row r="205" spans="1:16" s="157" customFormat="1" ht="63" x14ac:dyDescent="0.25">
      <c r="A205" s="116"/>
      <c r="B205" s="116" t="s">
        <v>94</v>
      </c>
      <c r="C205" s="55">
        <f t="shared" si="436"/>
        <v>107821</v>
      </c>
      <c r="D205" s="55">
        <f t="shared" si="437"/>
        <v>99902</v>
      </c>
      <c r="E205" s="58"/>
      <c r="F205" s="58">
        <f>107821-G205</f>
        <v>99902</v>
      </c>
      <c r="G205" s="55">
        <f t="shared" si="438"/>
        <v>7919</v>
      </c>
      <c r="H205" s="58"/>
      <c r="I205" s="58">
        <v>7919</v>
      </c>
      <c r="J205" s="55">
        <f t="shared" si="439"/>
        <v>11158</v>
      </c>
      <c r="K205" s="55">
        <f t="shared" si="440"/>
        <v>11158</v>
      </c>
      <c r="L205" s="58"/>
      <c r="M205" s="58">
        <v>11158</v>
      </c>
      <c r="N205" s="55">
        <f t="shared" si="441"/>
        <v>0</v>
      </c>
      <c r="O205" s="58">
        <v>0</v>
      </c>
      <c r="P205" s="58">
        <v>0</v>
      </c>
    </row>
    <row r="206" spans="1:16" s="157" customFormat="1" ht="17.25" customHeight="1" x14ac:dyDescent="0.25">
      <c r="A206" s="116"/>
      <c r="B206" s="116" t="s">
        <v>87</v>
      </c>
      <c r="C206" s="55">
        <f t="shared" si="436"/>
        <v>0</v>
      </c>
      <c r="D206" s="55">
        <f t="shared" si="437"/>
        <v>0</v>
      </c>
      <c r="E206" s="58"/>
      <c r="F206" s="58"/>
      <c r="G206" s="55">
        <f t="shared" si="438"/>
        <v>0</v>
      </c>
      <c r="H206" s="58"/>
      <c r="I206" s="58"/>
      <c r="J206" s="55">
        <f t="shared" si="439"/>
        <v>0</v>
      </c>
      <c r="K206" s="55">
        <f t="shared" si="440"/>
        <v>0</v>
      </c>
      <c r="L206" s="58"/>
      <c r="M206" s="58"/>
      <c r="N206" s="55">
        <f t="shared" si="441"/>
        <v>0</v>
      </c>
      <c r="O206" s="58"/>
      <c r="P206" s="58"/>
    </row>
    <row r="207" spans="1:16" s="157" customFormat="1" ht="17.25" customHeight="1" x14ac:dyDescent="0.25">
      <c r="A207" s="119"/>
      <c r="B207" s="115" t="s">
        <v>391</v>
      </c>
      <c r="C207" s="55">
        <f t="shared" si="436"/>
        <v>-50343</v>
      </c>
      <c r="D207" s="58">
        <v>0</v>
      </c>
      <c r="E207" s="58" t="s">
        <v>614</v>
      </c>
      <c r="F207" s="58" t="s">
        <v>614</v>
      </c>
      <c r="G207" s="58">
        <v>-50343</v>
      </c>
      <c r="H207" s="58" t="s">
        <v>614</v>
      </c>
      <c r="I207" s="58" t="s">
        <v>614</v>
      </c>
      <c r="J207" s="55">
        <f t="shared" si="439"/>
        <v>-7459</v>
      </c>
      <c r="K207" s="58"/>
      <c r="L207" s="58" t="s">
        <v>614</v>
      </c>
      <c r="M207" s="58" t="s">
        <v>614</v>
      </c>
      <c r="N207" s="58">
        <v>-7459</v>
      </c>
      <c r="O207" s="58" t="s">
        <v>614</v>
      </c>
      <c r="P207" s="58" t="s">
        <v>614</v>
      </c>
    </row>
    <row r="208" spans="1:16" ht="31.5" x14ac:dyDescent="0.25">
      <c r="A208" s="123" t="s">
        <v>310</v>
      </c>
      <c r="B208" s="123" t="s">
        <v>95</v>
      </c>
      <c r="C208" s="54">
        <f t="shared" ref="C208" si="445">+C209+C210+C213+C214+C215+C216</f>
        <v>58078912</v>
      </c>
      <c r="D208" s="54">
        <f t="shared" ref="D208:J208" si="446">+D209+D210+D213+D214+D215+D216</f>
        <v>53955863</v>
      </c>
      <c r="E208" s="62">
        <f t="shared" si="446"/>
        <v>31751368</v>
      </c>
      <c r="F208" s="62">
        <f t="shared" si="446"/>
        <v>22204495</v>
      </c>
      <c r="G208" s="54">
        <f t="shared" ref="G208:I208" si="447">+G209+G210+G213+G214+G215+G216</f>
        <v>4123049</v>
      </c>
      <c r="H208" s="62">
        <f t="shared" si="447"/>
        <v>2465579</v>
      </c>
      <c r="I208" s="62">
        <f t="shared" si="447"/>
        <v>1657470</v>
      </c>
      <c r="J208" s="54">
        <f t="shared" si="446"/>
        <v>5008398</v>
      </c>
      <c r="K208" s="54">
        <f t="shared" ref="K208:P208" si="448">+K209+K210+K213+K214+K215+K216</f>
        <v>5008398</v>
      </c>
      <c r="L208" s="62">
        <f t="shared" si="448"/>
        <v>2880778</v>
      </c>
      <c r="M208" s="62">
        <f t="shared" si="448"/>
        <v>2127620</v>
      </c>
      <c r="N208" s="54">
        <f t="shared" si="448"/>
        <v>0</v>
      </c>
      <c r="O208" s="62">
        <f t="shared" si="448"/>
        <v>0</v>
      </c>
      <c r="P208" s="62">
        <f t="shared" si="448"/>
        <v>0</v>
      </c>
    </row>
    <row r="209" spans="1:16" x14ac:dyDescent="0.25">
      <c r="A209" s="45"/>
      <c r="B209" s="45" t="s">
        <v>75</v>
      </c>
      <c r="C209" s="55">
        <f>+D209+G209</f>
        <v>55176269</v>
      </c>
      <c r="D209" s="55">
        <f>+E209+F209</f>
        <v>51326735</v>
      </c>
      <c r="E209" s="58">
        <f>33383710-H209</f>
        <v>31002741</v>
      </c>
      <c r="F209" s="58">
        <f>21792559-I209</f>
        <v>20323994</v>
      </c>
      <c r="G209" s="55">
        <f>+H209+I209</f>
        <v>3849534</v>
      </c>
      <c r="H209" s="58">
        <v>2380969</v>
      </c>
      <c r="I209" s="58">
        <v>1468565</v>
      </c>
      <c r="J209" s="55">
        <f>+K209+N209</f>
        <v>4740602</v>
      </c>
      <c r="K209" s="55">
        <f>+L209+M209</f>
        <v>4740602</v>
      </c>
      <c r="L209" s="58">
        <v>2803927</v>
      </c>
      <c r="M209" s="58">
        <v>1936675</v>
      </c>
      <c r="N209" s="55">
        <f>+O209+P209</f>
        <v>0</v>
      </c>
      <c r="O209" s="58"/>
      <c r="P209" s="58"/>
    </row>
    <row r="210" spans="1:16" ht="31.5" x14ac:dyDescent="0.25">
      <c r="A210" s="116"/>
      <c r="B210" s="116" t="s">
        <v>96</v>
      </c>
      <c r="C210" s="62">
        <f t="shared" ref="C210" si="449">+C211+C212</f>
        <v>1225415</v>
      </c>
      <c r="D210" s="62">
        <f t="shared" ref="D210:J210" si="450">+D211+D212</f>
        <v>1072185</v>
      </c>
      <c r="E210" s="62">
        <f t="shared" si="450"/>
        <v>732058</v>
      </c>
      <c r="F210" s="62">
        <f t="shared" si="450"/>
        <v>340127</v>
      </c>
      <c r="G210" s="62">
        <f t="shared" ref="G210:I210" si="451">+G211+G212</f>
        <v>153230</v>
      </c>
      <c r="H210" s="62">
        <f t="shared" si="451"/>
        <v>84610</v>
      </c>
      <c r="I210" s="62">
        <f t="shared" si="451"/>
        <v>68620</v>
      </c>
      <c r="J210" s="62">
        <f t="shared" si="450"/>
        <v>117077</v>
      </c>
      <c r="K210" s="62">
        <f t="shared" ref="K210:P210" si="452">+K211+K212</f>
        <v>117077</v>
      </c>
      <c r="L210" s="62">
        <f t="shared" si="452"/>
        <v>75431</v>
      </c>
      <c r="M210" s="62">
        <f t="shared" si="452"/>
        <v>41646</v>
      </c>
      <c r="N210" s="62">
        <f t="shared" si="452"/>
        <v>0</v>
      </c>
      <c r="O210" s="62">
        <f t="shared" si="452"/>
        <v>0</v>
      </c>
      <c r="P210" s="62">
        <f t="shared" si="452"/>
        <v>0</v>
      </c>
    </row>
    <row r="211" spans="1:16" x14ac:dyDescent="0.25">
      <c r="A211" s="116"/>
      <c r="B211" s="116" t="s">
        <v>97</v>
      </c>
      <c r="C211" s="55">
        <f t="shared" ref="C211:C217" si="453">+D211+G211</f>
        <v>1225415</v>
      </c>
      <c r="D211" s="55">
        <f t="shared" ref="D211:D216" si="454">+E211+F211</f>
        <v>1072185</v>
      </c>
      <c r="E211" s="58">
        <f>816668-H211</f>
        <v>732058</v>
      </c>
      <c r="F211" s="58">
        <f>408747-I211</f>
        <v>340127</v>
      </c>
      <c r="G211" s="55">
        <f t="shared" ref="G211:G216" si="455">+H211+I211</f>
        <v>153230</v>
      </c>
      <c r="H211" s="58">
        <v>84610</v>
      </c>
      <c r="I211" s="58">
        <v>68620</v>
      </c>
      <c r="J211" s="55">
        <f t="shared" ref="J211:J217" si="456">+K211+N211</f>
        <v>117077</v>
      </c>
      <c r="K211" s="55">
        <f t="shared" ref="K211:K216" si="457">+L211+M211</f>
        <v>117077</v>
      </c>
      <c r="L211" s="58">
        <v>75431</v>
      </c>
      <c r="M211" s="58">
        <v>41646</v>
      </c>
      <c r="N211" s="55">
        <f t="shared" ref="N211:N216" si="458">+O211+P211</f>
        <v>0</v>
      </c>
      <c r="O211" s="58"/>
      <c r="P211" s="58"/>
    </row>
    <row r="212" spans="1:16" x14ac:dyDescent="0.25">
      <c r="A212" s="116"/>
      <c r="B212" s="116" t="s">
        <v>98</v>
      </c>
      <c r="C212" s="55">
        <f t="shared" si="453"/>
        <v>0</v>
      </c>
      <c r="D212" s="55">
        <f t="shared" si="454"/>
        <v>0</v>
      </c>
      <c r="E212" s="58"/>
      <c r="F212" s="58"/>
      <c r="G212" s="55">
        <f t="shared" si="455"/>
        <v>0</v>
      </c>
      <c r="H212" s="58"/>
      <c r="I212" s="58"/>
      <c r="J212" s="55">
        <f t="shared" si="456"/>
        <v>0</v>
      </c>
      <c r="K212" s="55">
        <f t="shared" si="457"/>
        <v>0</v>
      </c>
      <c r="L212" s="58"/>
      <c r="M212" s="58"/>
      <c r="N212" s="55">
        <f t="shared" si="458"/>
        <v>0</v>
      </c>
      <c r="O212" s="58"/>
      <c r="P212" s="58"/>
    </row>
    <row r="213" spans="1:16" ht="78.75" x14ac:dyDescent="0.25">
      <c r="A213" s="116"/>
      <c r="B213" s="116" t="s">
        <v>77</v>
      </c>
      <c r="C213" s="55">
        <f t="shared" si="453"/>
        <v>18618</v>
      </c>
      <c r="D213" s="55">
        <f t="shared" si="454"/>
        <v>18618</v>
      </c>
      <c r="E213" s="58">
        <v>16569</v>
      </c>
      <c r="F213" s="58">
        <v>2049</v>
      </c>
      <c r="G213" s="55">
        <f t="shared" si="455"/>
        <v>0</v>
      </c>
      <c r="H213" s="58"/>
      <c r="I213" s="58"/>
      <c r="J213" s="55">
        <f t="shared" si="456"/>
        <v>1949</v>
      </c>
      <c r="K213" s="55">
        <f t="shared" si="457"/>
        <v>1949</v>
      </c>
      <c r="L213" s="58">
        <v>1420</v>
      </c>
      <c r="M213" s="58">
        <v>529</v>
      </c>
      <c r="N213" s="55">
        <f t="shared" si="458"/>
        <v>0</v>
      </c>
      <c r="O213" s="58"/>
      <c r="P213" s="58"/>
    </row>
    <row r="214" spans="1:16" x14ac:dyDescent="0.25">
      <c r="A214" s="45"/>
      <c r="B214" s="45" t="s">
        <v>87</v>
      </c>
      <c r="C214" s="55">
        <f t="shared" si="453"/>
        <v>0</v>
      </c>
      <c r="D214" s="55">
        <f t="shared" si="454"/>
        <v>0</v>
      </c>
      <c r="E214" s="58"/>
      <c r="F214" s="58"/>
      <c r="G214" s="55">
        <f t="shared" si="455"/>
        <v>0</v>
      </c>
      <c r="H214" s="58"/>
      <c r="I214" s="58"/>
      <c r="J214" s="55">
        <f t="shared" si="456"/>
        <v>0</v>
      </c>
      <c r="K214" s="55">
        <f t="shared" si="457"/>
        <v>0</v>
      </c>
      <c r="L214" s="58"/>
      <c r="M214" s="58"/>
      <c r="N214" s="55">
        <f t="shared" si="458"/>
        <v>0</v>
      </c>
      <c r="O214" s="58"/>
      <c r="P214" s="58"/>
    </row>
    <row r="215" spans="1:16" ht="31.5" x14ac:dyDescent="0.25">
      <c r="A215" s="45"/>
      <c r="B215" s="45" t="s">
        <v>99</v>
      </c>
      <c r="C215" s="55">
        <f t="shared" si="453"/>
        <v>1658610</v>
      </c>
      <c r="D215" s="55">
        <f t="shared" si="454"/>
        <v>1538325</v>
      </c>
      <c r="E215" s="58">
        <v>0</v>
      </c>
      <c r="F215" s="58">
        <f>1658610-G215</f>
        <v>1538325</v>
      </c>
      <c r="G215" s="55">
        <f t="shared" si="455"/>
        <v>120285</v>
      </c>
      <c r="H215" s="58"/>
      <c r="I215" s="58">
        <v>120285</v>
      </c>
      <c r="J215" s="55">
        <f t="shared" si="456"/>
        <v>148770</v>
      </c>
      <c r="K215" s="55">
        <f t="shared" si="457"/>
        <v>148770</v>
      </c>
      <c r="L215" s="58">
        <v>0</v>
      </c>
      <c r="M215" s="58">
        <v>148770</v>
      </c>
      <c r="N215" s="55">
        <f t="shared" si="458"/>
        <v>0</v>
      </c>
      <c r="O215" s="58"/>
      <c r="P215" s="58"/>
    </row>
    <row r="216" spans="1:16" x14ac:dyDescent="0.25">
      <c r="A216" s="45"/>
      <c r="B216" s="45" t="s">
        <v>100</v>
      </c>
      <c r="C216" s="55">
        <f t="shared" si="453"/>
        <v>0</v>
      </c>
      <c r="D216" s="55">
        <f t="shared" si="454"/>
        <v>0</v>
      </c>
      <c r="E216" s="58"/>
      <c r="F216" s="58"/>
      <c r="G216" s="55">
        <f t="shared" si="455"/>
        <v>0</v>
      </c>
      <c r="H216" s="58"/>
      <c r="I216" s="58"/>
      <c r="J216" s="55">
        <f t="shared" si="456"/>
        <v>0</v>
      </c>
      <c r="K216" s="55">
        <f t="shared" si="457"/>
        <v>0</v>
      </c>
      <c r="L216" s="58"/>
      <c r="M216" s="58"/>
      <c r="N216" s="55">
        <f t="shared" si="458"/>
        <v>0</v>
      </c>
      <c r="O216" s="58"/>
      <c r="P216" s="58"/>
    </row>
    <row r="217" spans="1:16" ht="33.75" customHeight="1" x14ac:dyDescent="0.25">
      <c r="A217" s="130"/>
      <c r="B217" s="115" t="s">
        <v>391</v>
      </c>
      <c r="C217" s="55">
        <f t="shared" si="453"/>
        <v>-44144</v>
      </c>
      <c r="D217" s="58"/>
      <c r="E217" s="58" t="s">
        <v>614</v>
      </c>
      <c r="F217" s="58" t="s">
        <v>614</v>
      </c>
      <c r="G217" s="58">
        <v>-44144</v>
      </c>
      <c r="H217" s="58" t="s">
        <v>614</v>
      </c>
      <c r="I217" s="58" t="s">
        <v>614</v>
      </c>
      <c r="J217" s="55">
        <f t="shared" si="456"/>
        <v>-15638</v>
      </c>
      <c r="K217" s="58"/>
      <c r="L217" s="58" t="s">
        <v>614</v>
      </c>
      <c r="M217" s="58" t="s">
        <v>614</v>
      </c>
      <c r="N217" s="58">
        <v>-15638</v>
      </c>
      <c r="O217" s="58" t="s">
        <v>614</v>
      </c>
      <c r="P217" s="58" t="s">
        <v>614</v>
      </c>
    </row>
    <row r="218" spans="1:16" ht="31.5" x14ac:dyDescent="0.25">
      <c r="A218" s="124" t="s">
        <v>311</v>
      </c>
      <c r="B218" s="124" t="s">
        <v>101</v>
      </c>
      <c r="C218" s="64">
        <f t="shared" ref="C218" si="459">C219+C220+C221+C222+C223</f>
        <v>12399681</v>
      </c>
      <c r="D218" s="64">
        <f t="shared" ref="D218:J218" si="460">D219+D220+D221+D222+D223</f>
        <v>11350343</v>
      </c>
      <c r="E218" s="97">
        <f t="shared" si="460"/>
        <v>0</v>
      </c>
      <c r="F218" s="97">
        <f t="shared" si="460"/>
        <v>11350343</v>
      </c>
      <c r="G218" s="64">
        <f t="shared" ref="G218:I218" si="461">G219+G220+G221+G222+G223</f>
        <v>1049338</v>
      </c>
      <c r="H218" s="97">
        <f t="shared" si="461"/>
        <v>0</v>
      </c>
      <c r="I218" s="97">
        <f t="shared" si="461"/>
        <v>1049338</v>
      </c>
      <c r="J218" s="64">
        <f t="shared" si="460"/>
        <v>985645</v>
      </c>
      <c r="K218" s="64">
        <f t="shared" ref="K218:P218" si="462">K219+K220+K221+K222+K223</f>
        <v>985645</v>
      </c>
      <c r="L218" s="97">
        <f t="shared" si="462"/>
        <v>0</v>
      </c>
      <c r="M218" s="97">
        <f t="shared" si="462"/>
        <v>985645</v>
      </c>
      <c r="N218" s="64">
        <f t="shared" si="462"/>
        <v>0</v>
      </c>
      <c r="O218" s="97">
        <f t="shared" si="462"/>
        <v>0</v>
      </c>
      <c r="P218" s="97">
        <f t="shared" si="462"/>
        <v>0</v>
      </c>
    </row>
    <row r="219" spans="1:16" x14ac:dyDescent="0.25">
      <c r="A219" s="45"/>
      <c r="B219" s="45" t="s">
        <v>75</v>
      </c>
      <c r="C219" s="55">
        <f t="shared" ref="C219:C224" si="463">+D219+G219</f>
        <v>11965702</v>
      </c>
      <c r="D219" s="55">
        <f t="shared" ref="D219:D223" si="464">+E219+F219</f>
        <v>10916364</v>
      </c>
      <c r="E219" s="58">
        <v>0</v>
      </c>
      <c r="F219" s="58">
        <f>11965702-G219</f>
        <v>10916364</v>
      </c>
      <c r="G219" s="55">
        <f t="shared" ref="G219:G223" si="465">+H219+I219</f>
        <v>1049338</v>
      </c>
      <c r="H219" s="58"/>
      <c r="I219" s="58">
        <v>1049338</v>
      </c>
      <c r="J219" s="55">
        <f t="shared" ref="J219:J224" si="466">+K219+N219</f>
        <v>967623</v>
      </c>
      <c r="K219" s="55">
        <f t="shared" ref="K219:K223" si="467">+L219+M219</f>
        <v>967623</v>
      </c>
      <c r="L219" s="58">
        <v>0</v>
      </c>
      <c r="M219" s="58">
        <v>967623</v>
      </c>
      <c r="N219" s="55">
        <f t="shared" ref="N219:N223" si="468">+O219+P219</f>
        <v>0</v>
      </c>
      <c r="O219" s="58"/>
      <c r="P219" s="58"/>
    </row>
    <row r="220" spans="1:16" s="153" customFormat="1" x14ac:dyDescent="0.25">
      <c r="A220" s="45"/>
      <c r="B220" s="45" t="s">
        <v>78</v>
      </c>
      <c r="C220" s="55">
        <f t="shared" si="463"/>
        <v>0</v>
      </c>
      <c r="D220" s="55">
        <f t="shared" si="464"/>
        <v>0</v>
      </c>
      <c r="E220" s="58"/>
      <c r="F220" s="58"/>
      <c r="G220" s="55">
        <f t="shared" si="465"/>
        <v>0</v>
      </c>
      <c r="H220" s="58"/>
      <c r="I220" s="58"/>
      <c r="J220" s="55">
        <f t="shared" si="466"/>
        <v>0</v>
      </c>
      <c r="K220" s="55">
        <f t="shared" si="467"/>
        <v>0</v>
      </c>
      <c r="L220" s="58"/>
      <c r="M220" s="58"/>
      <c r="N220" s="55">
        <f t="shared" si="468"/>
        <v>0</v>
      </c>
      <c r="O220" s="58"/>
      <c r="P220" s="58"/>
    </row>
    <row r="221" spans="1:16" s="153" customFormat="1" ht="78.75" x14ac:dyDescent="0.25">
      <c r="A221" s="116"/>
      <c r="B221" s="116" t="s">
        <v>77</v>
      </c>
      <c r="C221" s="55">
        <f t="shared" si="463"/>
        <v>433979</v>
      </c>
      <c r="D221" s="55">
        <f t="shared" si="464"/>
        <v>433979</v>
      </c>
      <c r="E221" s="58">
        <v>0</v>
      </c>
      <c r="F221" s="58">
        <v>433979</v>
      </c>
      <c r="G221" s="55">
        <f t="shared" si="465"/>
        <v>0</v>
      </c>
      <c r="H221" s="58"/>
      <c r="I221" s="58"/>
      <c r="J221" s="55">
        <f t="shared" si="466"/>
        <v>18022</v>
      </c>
      <c r="K221" s="55">
        <f t="shared" si="467"/>
        <v>18022</v>
      </c>
      <c r="L221" s="58">
        <v>0</v>
      </c>
      <c r="M221" s="58">
        <v>18022</v>
      </c>
      <c r="N221" s="55">
        <f t="shared" si="468"/>
        <v>0</v>
      </c>
      <c r="O221" s="58"/>
      <c r="P221" s="58"/>
    </row>
    <row r="222" spans="1:16" s="153" customFormat="1" x14ac:dyDescent="0.25">
      <c r="A222" s="116"/>
      <c r="B222" s="116" t="s">
        <v>87</v>
      </c>
      <c r="C222" s="55">
        <f t="shared" si="463"/>
        <v>0</v>
      </c>
      <c r="D222" s="55">
        <f t="shared" si="464"/>
        <v>0</v>
      </c>
      <c r="E222" s="58"/>
      <c r="F222" s="58"/>
      <c r="G222" s="55">
        <f t="shared" si="465"/>
        <v>0</v>
      </c>
      <c r="H222" s="58"/>
      <c r="I222" s="58"/>
      <c r="J222" s="55">
        <f t="shared" si="466"/>
        <v>0</v>
      </c>
      <c r="K222" s="55">
        <f t="shared" si="467"/>
        <v>0</v>
      </c>
      <c r="L222" s="58"/>
      <c r="M222" s="58"/>
      <c r="N222" s="55">
        <f t="shared" si="468"/>
        <v>0</v>
      </c>
      <c r="O222" s="58"/>
      <c r="P222" s="58"/>
    </row>
    <row r="223" spans="1:16" s="153" customFormat="1" ht="47.25" x14ac:dyDescent="0.25">
      <c r="A223" s="116"/>
      <c r="B223" s="116" t="s">
        <v>102</v>
      </c>
      <c r="C223" s="55">
        <f t="shared" si="463"/>
        <v>0</v>
      </c>
      <c r="D223" s="55">
        <f t="shared" si="464"/>
        <v>0</v>
      </c>
      <c r="E223" s="58"/>
      <c r="F223" s="58"/>
      <c r="G223" s="55">
        <f t="shared" si="465"/>
        <v>0</v>
      </c>
      <c r="H223" s="58"/>
      <c r="I223" s="58"/>
      <c r="J223" s="55">
        <f t="shared" si="466"/>
        <v>0</v>
      </c>
      <c r="K223" s="55">
        <f t="shared" si="467"/>
        <v>0</v>
      </c>
      <c r="L223" s="58"/>
      <c r="M223" s="58"/>
      <c r="N223" s="55">
        <f t="shared" si="468"/>
        <v>0</v>
      </c>
      <c r="O223" s="58"/>
      <c r="P223" s="58"/>
    </row>
    <row r="224" spans="1:16" s="153" customFormat="1" ht="19.5" customHeight="1" x14ac:dyDescent="0.25">
      <c r="A224" s="119"/>
      <c r="B224" s="115" t="s">
        <v>391</v>
      </c>
      <c r="C224" s="55">
        <f t="shared" si="463"/>
        <v>-5305</v>
      </c>
      <c r="D224" s="58"/>
      <c r="E224" s="58" t="s">
        <v>614</v>
      </c>
      <c r="F224" s="58" t="s">
        <v>614</v>
      </c>
      <c r="G224" s="58">
        <v>-5305</v>
      </c>
      <c r="H224" s="58" t="s">
        <v>614</v>
      </c>
      <c r="I224" s="58" t="s">
        <v>614</v>
      </c>
      <c r="J224" s="55">
        <f t="shared" si="466"/>
        <v>0</v>
      </c>
      <c r="K224" s="58"/>
      <c r="L224" s="58" t="s">
        <v>614</v>
      </c>
      <c r="M224" s="58" t="s">
        <v>614</v>
      </c>
      <c r="N224" s="58">
        <v>0</v>
      </c>
      <c r="O224" s="58" t="s">
        <v>614</v>
      </c>
      <c r="P224" s="58" t="s">
        <v>614</v>
      </c>
    </row>
    <row r="225" spans="1:16" s="153" customFormat="1" ht="31.5" x14ac:dyDescent="0.25">
      <c r="A225" s="124" t="s">
        <v>312</v>
      </c>
      <c r="B225" s="124" t="s">
        <v>103</v>
      </c>
      <c r="C225" s="49">
        <f>+C226+C227+C230+C231+C232+C233+C236+C239+C240</f>
        <v>45364950</v>
      </c>
      <c r="D225" s="49">
        <f t="shared" ref="D225:J225" si="469">+D226+D227+D230+D231+D232+D233+D236+D239+D240</f>
        <v>41670209</v>
      </c>
      <c r="E225" s="49">
        <f t="shared" si="469"/>
        <v>10716146</v>
      </c>
      <c r="F225" s="49">
        <f t="shared" si="469"/>
        <v>30954063</v>
      </c>
      <c r="G225" s="49">
        <f t="shared" ref="G225:I225" si="470">+G226+G227+G230+G231+G232+G233+G236+G239+G240</f>
        <v>3694741</v>
      </c>
      <c r="H225" s="49">
        <f t="shared" si="470"/>
        <v>999172</v>
      </c>
      <c r="I225" s="49">
        <f t="shared" si="470"/>
        <v>2695569</v>
      </c>
      <c r="J225" s="49">
        <f t="shared" si="469"/>
        <v>4671713</v>
      </c>
      <c r="K225" s="49">
        <f t="shared" ref="K225:P225" si="471">+K226+K227+K230+K231+K232+K233+K236+K239+K240</f>
        <v>4671713</v>
      </c>
      <c r="L225" s="49">
        <f t="shared" si="471"/>
        <v>1071288</v>
      </c>
      <c r="M225" s="49">
        <f t="shared" si="471"/>
        <v>3600425</v>
      </c>
      <c r="N225" s="49">
        <f t="shared" si="471"/>
        <v>0</v>
      </c>
      <c r="O225" s="49">
        <f t="shared" si="471"/>
        <v>0</v>
      </c>
      <c r="P225" s="49">
        <f t="shared" si="471"/>
        <v>0</v>
      </c>
    </row>
    <row r="226" spans="1:16" x14ac:dyDescent="0.25">
      <c r="A226" s="45"/>
      <c r="B226" s="45" t="s">
        <v>104</v>
      </c>
      <c r="C226" s="55">
        <f>+D226+G226</f>
        <v>35502430</v>
      </c>
      <c r="D226" s="55">
        <f>+E226+F226</f>
        <v>32947961</v>
      </c>
      <c r="E226" s="58">
        <f>9590363-H226</f>
        <v>8895571</v>
      </c>
      <c r="F226" s="58">
        <f>25912067-I226</f>
        <v>24052390</v>
      </c>
      <c r="G226" s="55">
        <f>+H226+I226</f>
        <v>2554469</v>
      </c>
      <c r="H226" s="58">
        <v>694792</v>
      </c>
      <c r="I226" s="58">
        <v>1859677</v>
      </c>
      <c r="J226" s="55">
        <f>+K226+N226</f>
        <v>3554550</v>
      </c>
      <c r="K226" s="55">
        <f>+L226+M226</f>
        <v>3554550</v>
      </c>
      <c r="L226" s="58">
        <v>873902</v>
      </c>
      <c r="M226" s="58">
        <v>2680648</v>
      </c>
      <c r="N226" s="55">
        <f>+O226+P226</f>
        <v>0</v>
      </c>
      <c r="O226" s="58"/>
      <c r="P226" s="58"/>
    </row>
    <row r="227" spans="1:16" ht="31.5" x14ac:dyDescent="0.25">
      <c r="A227" s="116"/>
      <c r="B227" s="116" t="s">
        <v>105</v>
      </c>
      <c r="C227" s="65">
        <f t="shared" ref="C227" si="472">+C228+C229</f>
        <v>9715930</v>
      </c>
      <c r="D227" s="65">
        <f t="shared" ref="D227:J227" si="473">+D228+D229</f>
        <v>8581092</v>
      </c>
      <c r="E227" s="65">
        <f t="shared" si="473"/>
        <v>1708853</v>
      </c>
      <c r="F227" s="65">
        <f t="shared" si="473"/>
        <v>6872239</v>
      </c>
      <c r="G227" s="65">
        <f t="shared" ref="G227:I227" si="474">+G228+G229</f>
        <v>1134838</v>
      </c>
      <c r="H227" s="65">
        <f t="shared" si="474"/>
        <v>298946</v>
      </c>
      <c r="I227" s="65">
        <f t="shared" si="474"/>
        <v>835892</v>
      </c>
      <c r="J227" s="65">
        <f t="shared" si="473"/>
        <v>1106782</v>
      </c>
      <c r="K227" s="65">
        <f t="shared" ref="K227:P227" si="475">+K228+K229</f>
        <v>1106782</v>
      </c>
      <c r="L227" s="65">
        <f t="shared" si="475"/>
        <v>187126</v>
      </c>
      <c r="M227" s="65">
        <f t="shared" si="475"/>
        <v>919656</v>
      </c>
      <c r="N227" s="65">
        <f t="shared" si="475"/>
        <v>0</v>
      </c>
      <c r="O227" s="65">
        <f t="shared" si="475"/>
        <v>0</v>
      </c>
      <c r="P227" s="65">
        <f t="shared" si="475"/>
        <v>0</v>
      </c>
    </row>
    <row r="228" spans="1:16" x14ac:dyDescent="0.25">
      <c r="A228" s="116"/>
      <c r="B228" s="116" t="s">
        <v>97</v>
      </c>
      <c r="C228" s="55">
        <f t="shared" ref="C228:C232" si="476">+D228+G228</f>
        <v>9715865</v>
      </c>
      <c r="D228" s="55">
        <f t="shared" ref="D228:D232" si="477">+E228+F228</f>
        <v>8581027</v>
      </c>
      <c r="E228" s="58">
        <f>2007799-H228</f>
        <v>1708853</v>
      </c>
      <c r="F228" s="58">
        <f>7708066-I228</f>
        <v>6872174</v>
      </c>
      <c r="G228" s="55">
        <f t="shared" ref="G228:G232" si="478">+H228+I228</f>
        <v>1134838</v>
      </c>
      <c r="H228" s="58">
        <v>298946</v>
      </c>
      <c r="I228" s="58">
        <v>835892</v>
      </c>
      <c r="J228" s="55">
        <f t="shared" ref="J228:J232" si="479">+K228+N228</f>
        <v>1106782</v>
      </c>
      <c r="K228" s="55">
        <f t="shared" ref="K228:K232" si="480">+L228+M228</f>
        <v>1106782</v>
      </c>
      <c r="L228" s="58">
        <v>187126</v>
      </c>
      <c r="M228" s="58">
        <v>919656</v>
      </c>
      <c r="N228" s="55">
        <f t="shared" ref="N228:N232" si="481">+O228+P228</f>
        <v>0</v>
      </c>
      <c r="O228" s="58"/>
      <c r="P228" s="58"/>
    </row>
    <row r="229" spans="1:16" x14ac:dyDescent="0.25">
      <c r="A229" s="116"/>
      <c r="B229" s="116" t="s">
        <v>98</v>
      </c>
      <c r="C229" s="55">
        <f t="shared" si="476"/>
        <v>65</v>
      </c>
      <c r="D229" s="55">
        <f t="shared" si="477"/>
        <v>65</v>
      </c>
      <c r="E229" s="58"/>
      <c r="F229" s="58">
        <v>65</v>
      </c>
      <c r="G229" s="55">
        <f t="shared" si="478"/>
        <v>0</v>
      </c>
      <c r="H229" s="58"/>
      <c r="I229" s="58"/>
      <c r="J229" s="55">
        <f t="shared" si="479"/>
        <v>0</v>
      </c>
      <c r="K229" s="55">
        <f t="shared" si="480"/>
        <v>0</v>
      </c>
      <c r="L229" s="58"/>
      <c r="M229" s="58">
        <v>0</v>
      </c>
      <c r="N229" s="55">
        <f t="shared" si="481"/>
        <v>0</v>
      </c>
      <c r="O229" s="58"/>
      <c r="P229" s="58"/>
    </row>
    <row r="230" spans="1:16" ht="94.5" x14ac:dyDescent="0.25">
      <c r="A230" s="116"/>
      <c r="B230" s="116" t="s">
        <v>106</v>
      </c>
      <c r="C230" s="55">
        <f t="shared" si="476"/>
        <v>100</v>
      </c>
      <c r="D230" s="55">
        <f t="shared" si="477"/>
        <v>100</v>
      </c>
      <c r="E230" s="58">
        <v>0</v>
      </c>
      <c r="F230" s="58">
        <v>100</v>
      </c>
      <c r="G230" s="55">
        <f t="shared" si="478"/>
        <v>0</v>
      </c>
      <c r="H230" s="58"/>
      <c r="I230" s="58"/>
      <c r="J230" s="55">
        <f t="shared" si="479"/>
        <v>0</v>
      </c>
      <c r="K230" s="55">
        <f t="shared" si="480"/>
        <v>0</v>
      </c>
      <c r="L230" s="173"/>
      <c r="M230" s="173"/>
      <c r="N230" s="55">
        <f t="shared" si="481"/>
        <v>0</v>
      </c>
      <c r="O230" s="58"/>
      <c r="P230" s="58"/>
    </row>
    <row r="231" spans="1:16" ht="78.75" x14ac:dyDescent="0.25">
      <c r="A231" s="116"/>
      <c r="B231" s="116" t="s">
        <v>77</v>
      </c>
      <c r="C231" s="55">
        <f t="shared" si="476"/>
        <v>29374</v>
      </c>
      <c r="D231" s="55">
        <f t="shared" si="477"/>
        <v>29374</v>
      </c>
      <c r="E231" s="58">
        <v>40</v>
      </c>
      <c r="F231" s="58">
        <v>29334</v>
      </c>
      <c r="G231" s="55">
        <f t="shared" si="478"/>
        <v>0</v>
      </c>
      <c r="H231" s="58"/>
      <c r="I231" s="58"/>
      <c r="J231" s="55">
        <f t="shared" si="479"/>
        <v>121</v>
      </c>
      <c r="K231" s="55">
        <f t="shared" si="480"/>
        <v>121</v>
      </c>
      <c r="L231" s="58">
        <v>0</v>
      </c>
      <c r="M231" s="58">
        <v>121</v>
      </c>
      <c r="N231" s="55">
        <f t="shared" si="481"/>
        <v>0</v>
      </c>
      <c r="O231" s="58"/>
      <c r="P231" s="58"/>
    </row>
    <row r="232" spans="1:16" x14ac:dyDescent="0.25">
      <c r="A232" s="45"/>
      <c r="B232" s="45" t="s">
        <v>87</v>
      </c>
      <c r="C232" s="55">
        <f t="shared" si="476"/>
        <v>0</v>
      </c>
      <c r="D232" s="55">
        <f t="shared" si="477"/>
        <v>0</v>
      </c>
      <c r="E232" s="58"/>
      <c r="F232" s="58"/>
      <c r="G232" s="55">
        <f t="shared" si="478"/>
        <v>0</v>
      </c>
      <c r="H232" s="58"/>
      <c r="I232" s="58"/>
      <c r="J232" s="55">
        <f t="shared" si="479"/>
        <v>0</v>
      </c>
      <c r="K232" s="55">
        <f t="shared" si="480"/>
        <v>0</v>
      </c>
      <c r="L232" s="58"/>
      <c r="M232" s="58"/>
      <c r="N232" s="55">
        <f t="shared" si="481"/>
        <v>0</v>
      </c>
      <c r="O232" s="58"/>
      <c r="P232" s="58"/>
    </row>
    <row r="233" spans="1:16" s="153" customFormat="1" x14ac:dyDescent="0.25">
      <c r="A233" s="46"/>
      <c r="B233" s="46" t="s">
        <v>107</v>
      </c>
      <c r="C233" s="54">
        <f t="shared" ref="C233" si="482">C234+C235</f>
        <v>0</v>
      </c>
      <c r="D233" s="54">
        <f t="shared" ref="D233:J233" si="483">D234+D235</f>
        <v>0</v>
      </c>
      <c r="E233" s="62">
        <f t="shared" si="483"/>
        <v>0</v>
      </c>
      <c r="F233" s="62">
        <f t="shared" si="483"/>
        <v>0</v>
      </c>
      <c r="G233" s="54">
        <f t="shared" ref="G233:I233" si="484">G234+G235</f>
        <v>0</v>
      </c>
      <c r="H233" s="62">
        <f t="shared" si="484"/>
        <v>0</v>
      </c>
      <c r="I233" s="62">
        <f t="shared" si="484"/>
        <v>0</v>
      </c>
      <c r="J233" s="54">
        <f t="shared" si="483"/>
        <v>0</v>
      </c>
      <c r="K233" s="54">
        <f t="shared" ref="K233:P233" si="485">K234+K235</f>
        <v>0</v>
      </c>
      <c r="L233" s="62">
        <f t="shared" si="485"/>
        <v>0</v>
      </c>
      <c r="M233" s="62">
        <f t="shared" si="485"/>
        <v>0</v>
      </c>
      <c r="N233" s="54">
        <f t="shared" si="485"/>
        <v>0</v>
      </c>
      <c r="O233" s="62">
        <f t="shared" si="485"/>
        <v>0</v>
      </c>
      <c r="P233" s="62">
        <f t="shared" si="485"/>
        <v>0</v>
      </c>
    </row>
    <row r="234" spans="1:16" x14ac:dyDescent="0.25">
      <c r="A234" s="45"/>
      <c r="B234" s="45" t="s">
        <v>75</v>
      </c>
      <c r="C234" s="55">
        <f t="shared" ref="C234:C235" si="486">+D234+G234</f>
        <v>0</v>
      </c>
      <c r="D234" s="55">
        <f t="shared" ref="D234:D235" si="487">+E234+F234</f>
        <v>0</v>
      </c>
      <c r="E234" s="58"/>
      <c r="F234" s="58"/>
      <c r="G234" s="55">
        <f t="shared" ref="G234:G235" si="488">+H234+I234</f>
        <v>0</v>
      </c>
      <c r="H234" s="58"/>
      <c r="I234" s="58"/>
      <c r="J234" s="55">
        <f t="shared" ref="J234:J235" si="489">+K234+N234</f>
        <v>0</v>
      </c>
      <c r="K234" s="55">
        <f t="shared" ref="K234:K235" si="490">+L234+M234</f>
        <v>0</v>
      </c>
      <c r="L234" s="58"/>
      <c r="M234" s="58"/>
      <c r="N234" s="55">
        <f t="shared" ref="N234:N235" si="491">+O234+P234</f>
        <v>0</v>
      </c>
      <c r="O234" s="58"/>
      <c r="P234" s="58"/>
    </row>
    <row r="235" spans="1:16" ht="78.75" x14ac:dyDescent="0.25">
      <c r="A235" s="116"/>
      <c r="B235" s="116" t="s">
        <v>77</v>
      </c>
      <c r="C235" s="55">
        <f t="shared" si="486"/>
        <v>0</v>
      </c>
      <c r="D235" s="55">
        <f t="shared" si="487"/>
        <v>0</v>
      </c>
      <c r="E235" s="58"/>
      <c r="F235" s="58"/>
      <c r="G235" s="55">
        <f t="shared" si="488"/>
        <v>0</v>
      </c>
      <c r="H235" s="58"/>
      <c r="I235" s="58"/>
      <c r="J235" s="55">
        <f t="shared" si="489"/>
        <v>0</v>
      </c>
      <c r="K235" s="55">
        <f t="shared" si="490"/>
        <v>0</v>
      </c>
      <c r="L235" s="58"/>
      <c r="M235" s="58"/>
      <c r="N235" s="55">
        <f t="shared" si="491"/>
        <v>0</v>
      </c>
      <c r="O235" s="58"/>
      <c r="P235" s="58"/>
    </row>
    <row r="236" spans="1:16" s="153" customFormat="1" ht="31.5" x14ac:dyDescent="0.25">
      <c r="A236" s="46"/>
      <c r="B236" s="46" t="s">
        <v>108</v>
      </c>
      <c r="C236" s="54">
        <f t="shared" ref="C236" si="492">C237+C238</f>
        <v>117116</v>
      </c>
      <c r="D236" s="54">
        <f t="shared" ref="D236:J236" si="493">D237+D238</f>
        <v>111682</v>
      </c>
      <c r="E236" s="62">
        <f t="shared" si="493"/>
        <v>111682</v>
      </c>
      <c r="F236" s="62">
        <f t="shared" si="493"/>
        <v>0</v>
      </c>
      <c r="G236" s="54">
        <f t="shared" ref="G236:I236" si="494">G237+G238</f>
        <v>5434</v>
      </c>
      <c r="H236" s="62">
        <f t="shared" si="494"/>
        <v>5434</v>
      </c>
      <c r="I236" s="62">
        <f t="shared" si="494"/>
        <v>0</v>
      </c>
      <c r="J236" s="54">
        <f t="shared" si="493"/>
        <v>10260</v>
      </c>
      <c r="K236" s="54">
        <f t="shared" ref="K236:P236" si="495">K237+K238</f>
        <v>10260</v>
      </c>
      <c r="L236" s="62">
        <f t="shared" si="495"/>
        <v>10260</v>
      </c>
      <c r="M236" s="62">
        <f t="shared" si="495"/>
        <v>0</v>
      </c>
      <c r="N236" s="54">
        <f t="shared" si="495"/>
        <v>0</v>
      </c>
      <c r="O236" s="62">
        <f t="shared" si="495"/>
        <v>0</v>
      </c>
      <c r="P236" s="62">
        <f t="shared" si="495"/>
        <v>0</v>
      </c>
    </row>
    <row r="237" spans="1:16" x14ac:dyDescent="0.25">
      <c r="A237" s="45"/>
      <c r="B237" s="45" t="s">
        <v>75</v>
      </c>
      <c r="C237" s="55">
        <f t="shared" ref="C237:C239" si="496">+D237+G237</f>
        <v>117116</v>
      </c>
      <c r="D237" s="55">
        <f t="shared" ref="D237:D239" si="497">+E237+F237</f>
        <v>111682</v>
      </c>
      <c r="E237" s="58">
        <f>117116-H237</f>
        <v>111682</v>
      </c>
      <c r="F237" s="58">
        <v>0</v>
      </c>
      <c r="G237" s="55">
        <f t="shared" ref="G237:G239" si="498">+H237+I237</f>
        <v>5434</v>
      </c>
      <c r="H237" s="58">
        <v>5434</v>
      </c>
      <c r="I237" s="58"/>
      <c r="J237" s="55">
        <f t="shared" ref="J237:J239" si="499">+K237+N237</f>
        <v>10260</v>
      </c>
      <c r="K237" s="55">
        <f t="shared" ref="K237:K239" si="500">+L237+M237</f>
        <v>10260</v>
      </c>
      <c r="L237" s="58">
        <v>10260</v>
      </c>
      <c r="M237" s="58"/>
      <c r="N237" s="55">
        <f t="shared" ref="N237:N239" si="501">+O237+P237</f>
        <v>0</v>
      </c>
      <c r="O237" s="58"/>
      <c r="P237" s="58"/>
    </row>
    <row r="238" spans="1:16" ht="78.75" x14ac:dyDescent="0.25">
      <c r="A238" s="116"/>
      <c r="B238" s="116" t="s">
        <v>77</v>
      </c>
      <c r="C238" s="55">
        <f t="shared" si="496"/>
        <v>0</v>
      </c>
      <c r="D238" s="55">
        <f t="shared" si="497"/>
        <v>0</v>
      </c>
      <c r="E238" s="58"/>
      <c r="F238" s="58">
        <v>0</v>
      </c>
      <c r="G238" s="55">
        <f t="shared" si="498"/>
        <v>0</v>
      </c>
      <c r="H238" s="58"/>
      <c r="I238" s="58"/>
      <c r="J238" s="55">
        <f t="shared" si="499"/>
        <v>0</v>
      </c>
      <c r="K238" s="55">
        <f t="shared" si="500"/>
        <v>0</v>
      </c>
      <c r="L238" s="58">
        <v>0</v>
      </c>
      <c r="M238" s="58">
        <v>0</v>
      </c>
      <c r="N238" s="55">
        <f t="shared" si="501"/>
        <v>0</v>
      </c>
      <c r="O238" s="58"/>
      <c r="P238" s="58"/>
    </row>
    <row r="239" spans="1:16" ht="31.5" x14ac:dyDescent="0.25">
      <c r="A239" s="46"/>
      <c r="B239" s="46" t="s">
        <v>109</v>
      </c>
      <c r="C239" s="55">
        <f t="shared" si="496"/>
        <v>0</v>
      </c>
      <c r="D239" s="55">
        <f t="shared" si="497"/>
        <v>0</v>
      </c>
      <c r="E239" s="58"/>
      <c r="F239" s="58"/>
      <c r="G239" s="55">
        <f t="shared" si="498"/>
        <v>0</v>
      </c>
      <c r="H239" s="58"/>
      <c r="I239" s="58"/>
      <c r="J239" s="55">
        <f t="shared" si="499"/>
        <v>0</v>
      </c>
      <c r="K239" s="55">
        <f t="shared" si="500"/>
        <v>0</v>
      </c>
      <c r="L239" s="58"/>
      <c r="M239" s="58"/>
      <c r="N239" s="55">
        <f t="shared" si="501"/>
        <v>0</v>
      </c>
      <c r="O239" s="58"/>
      <c r="P239" s="58"/>
    </row>
    <row r="240" spans="1:16" s="153" customFormat="1" x14ac:dyDescent="0.25">
      <c r="A240" s="46"/>
      <c r="B240" s="46" t="s">
        <v>110</v>
      </c>
      <c r="C240" s="62">
        <f t="shared" ref="C240" si="502">+C241+C242</f>
        <v>0</v>
      </c>
      <c r="D240" s="62">
        <f t="shared" ref="D240:J240" si="503">+D241+D242</f>
        <v>0</v>
      </c>
      <c r="E240" s="62">
        <f t="shared" si="503"/>
        <v>0</v>
      </c>
      <c r="F240" s="62">
        <f t="shared" si="503"/>
        <v>0</v>
      </c>
      <c r="G240" s="62">
        <f t="shared" ref="G240:I240" si="504">+G241+G242</f>
        <v>0</v>
      </c>
      <c r="H240" s="62">
        <f t="shared" si="504"/>
        <v>0</v>
      </c>
      <c r="I240" s="62">
        <f t="shared" si="504"/>
        <v>0</v>
      </c>
      <c r="J240" s="62">
        <f t="shared" si="503"/>
        <v>0</v>
      </c>
      <c r="K240" s="62">
        <f t="shared" ref="K240:P240" si="505">+K241+K242</f>
        <v>0</v>
      </c>
      <c r="L240" s="62">
        <f t="shared" si="505"/>
        <v>0</v>
      </c>
      <c r="M240" s="62">
        <f t="shared" si="505"/>
        <v>0</v>
      </c>
      <c r="N240" s="62">
        <f t="shared" si="505"/>
        <v>0</v>
      </c>
      <c r="O240" s="62">
        <f t="shared" si="505"/>
        <v>0</v>
      </c>
      <c r="P240" s="62">
        <f t="shared" si="505"/>
        <v>0</v>
      </c>
    </row>
    <row r="241" spans="1:16" s="153" customFormat="1" x14ac:dyDescent="0.25">
      <c r="A241" s="45"/>
      <c r="B241" s="45" t="s">
        <v>75</v>
      </c>
      <c r="C241" s="55">
        <f t="shared" ref="C241:C243" si="506">+D241+G241</f>
        <v>0</v>
      </c>
      <c r="D241" s="55">
        <f t="shared" ref="D241:D242" si="507">+E241+F241</f>
        <v>0</v>
      </c>
      <c r="E241" s="58"/>
      <c r="F241" s="58"/>
      <c r="G241" s="55">
        <f t="shared" ref="G241:G242" si="508">+H241+I241</f>
        <v>0</v>
      </c>
      <c r="H241" s="58"/>
      <c r="I241" s="58"/>
      <c r="J241" s="55">
        <f t="shared" ref="J241:J243" si="509">+K241+N241</f>
        <v>0</v>
      </c>
      <c r="K241" s="55">
        <f t="shared" ref="K241:K242" si="510">+L241+M241</f>
        <v>0</v>
      </c>
      <c r="L241" s="58"/>
      <c r="M241" s="58"/>
      <c r="N241" s="55">
        <f t="shared" ref="N241:N242" si="511">+O241+P241</f>
        <v>0</v>
      </c>
      <c r="O241" s="58"/>
      <c r="P241" s="58"/>
    </row>
    <row r="242" spans="1:16" s="153" customFormat="1" ht="78.75" x14ac:dyDescent="0.25">
      <c r="A242" s="116"/>
      <c r="B242" s="116" t="s">
        <v>77</v>
      </c>
      <c r="C242" s="55">
        <f t="shared" si="506"/>
        <v>0</v>
      </c>
      <c r="D242" s="55">
        <f t="shared" si="507"/>
        <v>0</v>
      </c>
      <c r="E242" s="58"/>
      <c r="F242" s="58"/>
      <c r="G242" s="55">
        <f t="shared" si="508"/>
        <v>0</v>
      </c>
      <c r="H242" s="58"/>
      <c r="I242" s="58"/>
      <c r="J242" s="55">
        <f t="shared" si="509"/>
        <v>0</v>
      </c>
      <c r="K242" s="55">
        <f t="shared" si="510"/>
        <v>0</v>
      </c>
      <c r="L242" s="58"/>
      <c r="M242" s="58"/>
      <c r="N242" s="55">
        <f t="shared" si="511"/>
        <v>0</v>
      </c>
      <c r="O242" s="58"/>
      <c r="P242" s="58"/>
    </row>
    <row r="243" spans="1:16" s="153" customFormat="1" ht="30" customHeight="1" x14ac:dyDescent="0.25">
      <c r="A243" s="119"/>
      <c r="B243" s="115" t="s">
        <v>391</v>
      </c>
      <c r="C243" s="55">
        <f t="shared" si="506"/>
        <v>-35105</v>
      </c>
      <c r="D243" s="58">
        <v>0</v>
      </c>
      <c r="E243" s="58" t="s">
        <v>614</v>
      </c>
      <c r="F243" s="58" t="s">
        <v>614</v>
      </c>
      <c r="G243" s="58">
        <v>-35105</v>
      </c>
      <c r="H243" s="58" t="s">
        <v>614</v>
      </c>
      <c r="I243" s="58" t="s">
        <v>614</v>
      </c>
      <c r="J243" s="55">
        <f t="shared" si="509"/>
        <v>-9566</v>
      </c>
      <c r="K243" s="58"/>
      <c r="L243" s="58" t="s">
        <v>614</v>
      </c>
      <c r="M243" s="58" t="s">
        <v>614</v>
      </c>
      <c r="N243" s="58">
        <v>-9566</v>
      </c>
      <c r="O243" s="58" t="s">
        <v>614</v>
      </c>
      <c r="P243" s="58" t="s">
        <v>614</v>
      </c>
    </row>
    <row r="244" spans="1:16" ht="31.5" x14ac:dyDescent="0.25">
      <c r="A244" s="124" t="s">
        <v>313</v>
      </c>
      <c r="B244" s="124" t="s">
        <v>111</v>
      </c>
      <c r="C244" s="54">
        <f t="shared" ref="C244" si="512">+C245+C246+C247+C248+C249</f>
        <v>4816436</v>
      </c>
      <c r="D244" s="54">
        <f t="shared" ref="D244:J244" si="513">+D245+D246+D247+D248+D249</f>
        <v>4425224</v>
      </c>
      <c r="E244" s="62">
        <f t="shared" si="513"/>
        <v>3230175</v>
      </c>
      <c r="F244" s="62">
        <f t="shared" si="513"/>
        <v>1195049</v>
      </c>
      <c r="G244" s="54">
        <f t="shared" ref="G244:I244" si="514">+G245+G246+G247+G248+G249</f>
        <v>391212</v>
      </c>
      <c r="H244" s="62">
        <f t="shared" si="514"/>
        <v>290222</v>
      </c>
      <c r="I244" s="62">
        <f t="shared" si="514"/>
        <v>100990</v>
      </c>
      <c r="J244" s="54">
        <f t="shared" si="513"/>
        <v>530627</v>
      </c>
      <c r="K244" s="54">
        <f t="shared" ref="K244:P244" si="515">+K245+K246+K247+K248+K249</f>
        <v>530627</v>
      </c>
      <c r="L244" s="62">
        <f t="shared" si="515"/>
        <v>377812</v>
      </c>
      <c r="M244" s="62">
        <f t="shared" si="515"/>
        <v>152815</v>
      </c>
      <c r="N244" s="54">
        <f t="shared" si="515"/>
        <v>0</v>
      </c>
      <c r="O244" s="62">
        <f t="shared" si="515"/>
        <v>0</v>
      </c>
      <c r="P244" s="62">
        <f t="shared" si="515"/>
        <v>0</v>
      </c>
    </row>
    <row r="245" spans="1:16" s="153" customFormat="1" x14ac:dyDescent="0.25">
      <c r="A245" s="125"/>
      <c r="B245" s="125" t="s">
        <v>112</v>
      </c>
      <c r="C245" s="55">
        <f t="shared" ref="C245:C250" si="516">+D245+G245</f>
        <v>4789366</v>
      </c>
      <c r="D245" s="55">
        <f t="shared" ref="D245:D249" si="517">+E245+F245</f>
        <v>4398154</v>
      </c>
      <c r="E245" s="58">
        <f>3520397-H245</f>
        <v>3230175</v>
      </c>
      <c r="F245" s="58">
        <f>1268969-I245</f>
        <v>1167979</v>
      </c>
      <c r="G245" s="55">
        <f t="shared" ref="G245:G249" si="518">+H245+I245</f>
        <v>391212</v>
      </c>
      <c r="H245" s="58">
        <v>290222</v>
      </c>
      <c r="I245" s="58">
        <v>100990</v>
      </c>
      <c r="J245" s="55">
        <f t="shared" ref="J245:J250" si="519">+K245+N245</f>
        <v>523907</v>
      </c>
      <c r="K245" s="55">
        <f t="shared" ref="K245:K249" si="520">+L245+M245</f>
        <v>523907</v>
      </c>
      <c r="L245" s="58">
        <v>377812</v>
      </c>
      <c r="M245" s="58">
        <v>146095</v>
      </c>
      <c r="N245" s="55">
        <f t="shared" ref="N245:N249" si="521">+O245+P245</f>
        <v>0</v>
      </c>
      <c r="O245" s="58"/>
      <c r="P245" s="58"/>
    </row>
    <row r="246" spans="1:16" s="153" customFormat="1" ht="31.5" x14ac:dyDescent="0.25">
      <c r="A246" s="125"/>
      <c r="B246" s="125" t="s">
        <v>113</v>
      </c>
      <c r="C246" s="55">
        <f t="shared" si="516"/>
        <v>24590</v>
      </c>
      <c r="D246" s="55">
        <f t="shared" si="517"/>
        <v>24590</v>
      </c>
      <c r="E246" s="58"/>
      <c r="F246" s="58">
        <v>24590</v>
      </c>
      <c r="G246" s="55">
        <f t="shared" si="518"/>
        <v>0</v>
      </c>
      <c r="H246" s="58"/>
      <c r="I246" s="58"/>
      <c r="J246" s="55">
        <f t="shared" si="519"/>
        <v>6720</v>
      </c>
      <c r="K246" s="55">
        <f t="shared" si="520"/>
        <v>6720</v>
      </c>
      <c r="L246" s="58"/>
      <c r="M246" s="58">
        <v>6720</v>
      </c>
      <c r="N246" s="55">
        <f t="shared" si="521"/>
        <v>0</v>
      </c>
      <c r="O246" s="58"/>
      <c r="P246" s="58"/>
    </row>
    <row r="247" spans="1:16" s="153" customFormat="1" x14ac:dyDescent="0.25">
      <c r="A247" s="45"/>
      <c r="B247" s="45" t="s">
        <v>114</v>
      </c>
      <c r="C247" s="55">
        <f t="shared" si="516"/>
        <v>0</v>
      </c>
      <c r="D247" s="55">
        <f t="shared" si="517"/>
        <v>0</v>
      </c>
      <c r="E247" s="58"/>
      <c r="F247" s="58"/>
      <c r="G247" s="55">
        <f t="shared" si="518"/>
        <v>0</v>
      </c>
      <c r="H247" s="58"/>
      <c r="I247" s="58"/>
      <c r="J247" s="55">
        <f t="shared" si="519"/>
        <v>0</v>
      </c>
      <c r="K247" s="55">
        <f t="shared" si="520"/>
        <v>0</v>
      </c>
      <c r="L247" s="58"/>
      <c r="M247" s="58"/>
      <c r="N247" s="55">
        <f t="shared" si="521"/>
        <v>0</v>
      </c>
      <c r="O247" s="58"/>
      <c r="P247" s="58"/>
    </row>
    <row r="248" spans="1:16" s="153" customFormat="1" ht="78.75" x14ac:dyDescent="0.25">
      <c r="A248" s="116"/>
      <c r="B248" s="116" t="s">
        <v>77</v>
      </c>
      <c r="C248" s="55">
        <f t="shared" si="516"/>
        <v>2480</v>
      </c>
      <c r="D248" s="55">
        <f t="shared" si="517"/>
        <v>2480</v>
      </c>
      <c r="E248" s="58">
        <v>0</v>
      </c>
      <c r="F248" s="58">
        <v>2480</v>
      </c>
      <c r="G248" s="55">
        <f t="shared" si="518"/>
        <v>0</v>
      </c>
      <c r="H248" s="58"/>
      <c r="I248" s="58"/>
      <c r="J248" s="55">
        <f t="shared" si="519"/>
        <v>0</v>
      </c>
      <c r="K248" s="55">
        <f t="shared" si="520"/>
        <v>0</v>
      </c>
      <c r="L248" s="58">
        <v>0</v>
      </c>
      <c r="M248" s="58">
        <v>0</v>
      </c>
      <c r="N248" s="55">
        <f t="shared" si="521"/>
        <v>0</v>
      </c>
      <c r="O248" s="58"/>
      <c r="P248" s="58"/>
    </row>
    <row r="249" spans="1:16" s="153" customFormat="1" x14ac:dyDescent="0.25">
      <c r="A249" s="45"/>
      <c r="B249" s="45" t="s">
        <v>87</v>
      </c>
      <c r="C249" s="55">
        <f t="shared" si="516"/>
        <v>0</v>
      </c>
      <c r="D249" s="55">
        <f t="shared" si="517"/>
        <v>0</v>
      </c>
      <c r="E249" s="58"/>
      <c r="F249" s="58"/>
      <c r="G249" s="55">
        <f t="shared" si="518"/>
        <v>0</v>
      </c>
      <c r="H249" s="58"/>
      <c r="I249" s="58"/>
      <c r="J249" s="55">
        <f t="shared" si="519"/>
        <v>0</v>
      </c>
      <c r="K249" s="55">
        <f t="shared" si="520"/>
        <v>0</v>
      </c>
      <c r="L249" s="58"/>
      <c r="M249" s="58"/>
      <c r="N249" s="55">
        <f t="shared" si="521"/>
        <v>0</v>
      </c>
      <c r="O249" s="58"/>
      <c r="P249" s="58"/>
    </row>
    <row r="250" spans="1:16" s="153" customFormat="1" ht="20.25" customHeight="1" x14ac:dyDescent="0.25">
      <c r="A250" s="130"/>
      <c r="B250" s="115" t="s">
        <v>391</v>
      </c>
      <c r="C250" s="55">
        <f t="shared" si="516"/>
        <v>-8506</v>
      </c>
      <c r="D250" s="58"/>
      <c r="E250" s="58" t="s">
        <v>614</v>
      </c>
      <c r="F250" s="58" t="s">
        <v>614</v>
      </c>
      <c r="G250" s="58">
        <v>-8506</v>
      </c>
      <c r="H250" s="58" t="s">
        <v>614</v>
      </c>
      <c r="I250" s="58" t="s">
        <v>614</v>
      </c>
      <c r="J250" s="55">
        <f t="shared" si="519"/>
        <v>-420</v>
      </c>
      <c r="K250" s="58"/>
      <c r="L250" s="58" t="s">
        <v>614</v>
      </c>
      <c r="M250" s="58" t="s">
        <v>614</v>
      </c>
      <c r="N250" s="58">
        <v>-420</v>
      </c>
      <c r="O250" s="58" t="s">
        <v>614</v>
      </c>
      <c r="P250" s="58" t="s">
        <v>614</v>
      </c>
    </row>
    <row r="251" spans="1:16" s="153" customFormat="1" x14ac:dyDescent="0.25">
      <c r="A251" s="46" t="s">
        <v>314</v>
      </c>
      <c r="B251" s="46" t="s">
        <v>115</v>
      </c>
      <c r="C251" s="61">
        <f t="shared" ref="C251" si="522">+C252+C253+C254</f>
        <v>2652389</v>
      </c>
      <c r="D251" s="61">
        <f t="shared" ref="D251:J251" si="523">+D252+D253+D254</f>
        <v>2445797</v>
      </c>
      <c r="E251" s="65">
        <f t="shared" si="523"/>
        <v>0</v>
      </c>
      <c r="F251" s="65">
        <f t="shared" si="523"/>
        <v>2445797</v>
      </c>
      <c r="G251" s="61">
        <f t="shared" ref="G251:I251" si="524">+G252+G253+G254</f>
        <v>206592</v>
      </c>
      <c r="H251" s="65">
        <f t="shared" si="524"/>
        <v>0</v>
      </c>
      <c r="I251" s="65">
        <f t="shared" si="524"/>
        <v>206592</v>
      </c>
      <c r="J251" s="61">
        <f t="shared" si="523"/>
        <v>277791</v>
      </c>
      <c r="K251" s="61">
        <f t="shared" ref="K251:P251" si="525">+K252+K253+K254</f>
        <v>277791</v>
      </c>
      <c r="L251" s="65">
        <f t="shared" si="525"/>
        <v>0</v>
      </c>
      <c r="M251" s="65">
        <f t="shared" si="525"/>
        <v>277791</v>
      </c>
      <c r="N251" s="61">
        <f t="shared" si="525"/>
        <v>0</v>
      </c>
      <c r="O251" s="65">
        <f t="shared" si="525"/>
        <v>0</v>
      </c>
      <c r="P251" s="65">
        <f t="shared" si="525"/>
        <v>0</v>
      </c>
    </row>
    <row r="252" spans="1:16" s="153" customFormat="1" x14ac:dyDescent="0.25">
      <c r="A252" s="125"/>
      <c r="B252" s="125" t="s">
        <v>223</v>
      </c>
      <c r="C252" s="55">
        <f t="shared" ref="C252:C255" si="526">+D252+G252</f>
        <v>1886532</v>
      </c>
      <c r="D252" s="55">
        <f t="shared" ref="D252:D254" si="527">+E252+F252</f>
        <v>1761434</v>
      </c>
      <c r="E252" s="58">
        <v>0</v>
      </c>
      <c r="F252" s="58">
        <f>1886532-I252</f>
        <v>1761434</v>
      </c>
      <c r="G252" s="55">
        <f t="shared" ref="G252:G254" si="528">+H252+I252</f>
        <v>125098</v>
      </c>
      <c r="H252" s="58"/>
      <c r="I252" s="58">
        <v>125098</v>
      </c>
      <c r="J252" s="55">
        <f t="shared" ref="J252:J255" si="529">+K252+N252</f>
        <v>192940</v>
      </c>
      <c r="K252" s="55">
        <f t="shared" ref="K252:K254" si="530">+L252+M252</f>
        <v>192940</v>
      </c>
      <c r="L252" s="58"/>
      <c r="M252" s="58">
        <v>192940</v>
      </c>
      <c r="N252" s="55">
        <f t="shared" ref="N252:N254" si="531">+O252+P252</f>
        <v>0</v>
      </c>
      <c r="O252" s="58"/>
      <c r="P252" s="58"/>
    </row>
    <row r="253" spans="1:16" s="153" customFormat="1" ht="31.5" x14ac:dyDescent="0.25">
      <c r="A253" s="125"/>
      <c r="B253" s="125" t="s">
        <v>113</v>
      </c>
      <c r="C253" s="55">
        <f t="shared" si="526"/>
        <v>765857</v>
      </c>
      <c r="D253" s="55">
        <f t="shared" si="527"/>
        <v>684363</v>
      </c>
      <c r="E253" s="58">
        <v>0</v>
      </c>
      <c r="F253" s="58">
        <f>765857-I253</f>
        <v>684363</v>
      </c>
      <c r="G253" s="55">
        <f t="shared" si="528"/>
        <v>81494</v>
      </c>
      <c r="H253" s="58"/>
      <c r="I253" s="58">
        <v>81494</v>
      </c>
      <c r="J253" s="55">
        <f t="shared" si="529"/>
        <v>84851</v>
      </c>
      <c r="K253" s="55">
        <f t="shared" si="530"/>
        <v>84851</v>
      </c>
      <c r="L253" s="58">
        <v>0</v>
      </c>
      <c r="M253" s="58">
        <v>84851</v>
      </c>
      <c r="N253" s="55">
        <f t="shared" si="531"/>
        <v>0</v>
      </c>
      <c r="O253" s="58"/>
      <c r="P253" s="58"/>
    </row>
    <row r="254" spans="1:16" s="153" customFormat="1" ht="78.75" x14ac:dyDescent="0.25">
      <c r="A254" s="116"/>
      <c r="B254" s="116" t="s">
        <v>77</v>
      </c>
      <c r="C254" s="55">
        <f t="shared" si="526"/>
        <v>0</v>
      </c>
      <c r="D254" s="55">
        <f t="shared" si="527"/>
        <v>0</v>
      </c>
      <c r="E254" s="58"/>
      <c r="F254" s="58"/>
      <c r="G254" s="55">
        <f t="shared" si="528"/>
        <v>0</v>
      </c>
      <c r="H254" s="58"/>
      <c r="I254" s="58"/>
      <c r="J254" s="55">
        <f t="shared" si="529"/>
        <v>0</v>
      </c>
      <c r="K254" s="55">
        <f t="shared" si="530"/>
        <v>0</v>
      </c>
      <c r="L254" s="58"/>
      <c r="M254" s="58"/>
      <c r="N254" s="55">
        <f t="shared" si="531"/>
        <v>0</v>
      </c>
      <c r="O254" s="58"/>
      <c r="P254" s="58"/>
    </row>
    <row r="255" spans="1:16" s="153" customFormat="1" ht="24.75" customHeight="1" x14ac:dyDescent="0.25">
      <c r="A255" s="119"/>
      <c r="B255" s="115" t="s">
        <v>391</v>
      </c>
      <c r="C255" s="55">
        <f t="shared" si="526"/>
        <v>0</v>
      </c>
      <c r="D255" s="58"/>
      <c r="E255" s="58" t="s">
        <v>614</v>
      </c>
      <c r="F255" s="58" t="s">
        <v>614</v>
      </c>
      <c r="G255" s="58"/>
      <c r="H255" s="58" t="s">
        <v>614</v>
      </c>
      <c r="I255" s="58" t="s">
        <v>614</v>
      </c>
      <c r="J255" s="55">
        <f t="shared" si="529"/>
        <v>0</v>
      </c>
      <c r="K255" s="58"/>
      <c r="L255" s="58" t="s">
        <v>614</v>
      </c>
      <c r="M255" s="58" t="s">
        <v>614</v>
      </c>
      <c r="N255" s="58"/>
      <c r="O255" s="58" t="s">
        <v>614</v>
      </c>
      <c r="P255" s="58" t="s">
        <v>614</v>
      </c>
    </row>
    <row r="256" spans="1:16" s="153" customFormat="1" x14ac:dyDescent="0.25">
      <c r="A256" s="46" t="s">
        <v>315</v>
      </c>
      <c r="B256" s="46" t="s">
        <v>116</v>
      </c>
      <c r="C256" s="52">
        <f t="shared" ref="C256:J256" si="532">C257+C281</f>
        <v>359573645</v>
      </c>
      <c r="D256" s="52">
        <f t="shared" si="532"/>
        <v>326711930</v>
      </c>
      <c r="E256" s="59">
        <f t="shared" si="532"/>
        <v>284975092</v>
      </c>
      <c r="F256" s="59">
        <f t="shared" si="532"/>
        <v>41736838</v>
      </c>
      <c r="G256" s="52">
        <f t="shared" ref="G256:I256" si="533">G257+G281</f>
        <v>32861715</v>
      </c>
      <c r="H256" s="59">
        <f t="shared" si="533"/>
        <v>28731977</v>
      </c>
      <c r="I256" s="59">
        <f t="shared" si="533"/>
        <v>4129738</v>
      </c>
      <c r="J256" s="52">
        <f t="shared" si="532"/>
        <v>38450945</v>
      </c>
      <c r="K256" s="52">
        <f t="shared" ref="K256:P256" si="534">K257+K281</f>
        <v>38450945</v>
      </c>
      <c r="L256" s="59">
        <f t="shared" si="534"/>
        <v>32778846</v>
      </c>
      <c r="M256" s="59">
        <f t="shared" si="534"/>
        <v>5672099</v>
      </c>
      <c r="N256" s="52">
        <f t="shared" si="534"/>
        <v>0</v>
      </c>
      <c r="O256" s="59">
        <f t="shared" si="534"/>
        <v>0</v>
      </c>
      <c r="P256" s="59">
        <f t="shared" si="534"/>
        <v>0</v>
      </c>
    </row>
    <row r="257" spans="1:16" s="153" customFormat="1" ht="31.5" x14ac:dyDescent="0.25">
      <c r="A257" s="46" t="s">
        <v>316</v>
      </c>
      <c r="B257" s="46" t="s">
        <v>117</v>
      </c>
      <c r="C257" s="49">
        <f>+C258+C259+C264+C265+C266+C267+C268+C269+C272+C275+C278+C279</f>
        <v>359573645</v>
      </c>
      <c r="D257" s="49">
        <f t="shared" ref="D257:J257" si="535">+D258+D259+D264+D265+D266+D267+D268+D269+D272+D275+D278+D279</f>
        <v>326711930</v>
      </c>
      <c r="E257" s="49">
        <f t="shared" si="535"/>
        <v>284975092</v>
      </c>
      <c r="F257" s="49">
        <f t="shared" si="535"/>
        <v>41736838</v>
      </c>
      <c r="G257" s="49">
        <f t="shared" ref="G257:I257" si="536">+G258+G259+G264+G265+G266+G267+G268+G269+G272+G275+G278+G279</f>
        <v>32861715</v>
      </c>
      <c r="H257" s="49">
        <f t="shared" si="536"/>
        <v>28731977</v>
      </c>
      <c r="I257" s="49">
        <f t="shared" si="536"/>
        <v>4129738</v>
      </c>
      <c r="J257" s="49">
        <f t="shared" si="535"/>
        <v>38450945</v>
      </c>
      <c r="K257" s="49">
        <f t="shared" ref="K257:P257" si="537">+K258+K259+K264+K265+K266+K267+K268+K269+K272+K275+K278+K279</f>
        <v>38450945</v>
      </c>
      <c r="L257" s="49">
        <f t="shared" si="537"/>
        <v>32778846</v>
      </c>
      <c r="M257" s="49">
        <f t="shared" si="537"/>
        <v>5672099</v>
      </c>
      <c r="N257" s="49">
        <f t="shared" si="537"/>
        <v>0</v>
      </c>
      <c r="O257" s="49">
        <f t="shared" si="537"/>
        <v>0</v>
      </c>
      <c r="P257" s="49">
        <f t="shared" si="537"/>
        <v>0</v>
      </c>
    </row>
    <row r="258" spans="1:16" s="153" customFormat="1" x14ac:dyDescent="0.25">
      <c r="A258" s="126"/>
      <c r="B258" s="126" t="s">
        <v>224</v>
      </c>
      <c r="C258" s="55">
        <f>+D258+G258</f>
        <v>313793790</v>
      </c>
      <c r="D258" s="55">
        <f>+E258+F258</f>
        <v>283252722</v>
      </c>
      <c r="E258" s="58">
        <f>272345801-H258</f>
        <v>245910167</v>
      </c>
      <c r="F258" s="58">
        <f>41447989-I258</f>
        <v>37342555</v>
      </c>
      <c r="G258" s="55">
        <f>+H258+I258</f>
        <v>30541068</v>
      </c>
      <c r="H258" s="58">
        <v>26435634</v>
      </c>
      <c r="I258" s="58">
        <v>4105434</v>
      </c>
      <c r="J258" s="55">
        <f>+K258+N258</f>
        <v>32195168</v>
      </c>
      <c r="K258" s="55">
        <f>+L258+M258</f>
        <v>32195168</v>
      </c>
      <c r="L258" s="58">
        <v>27453419</v>
      </c>
      <c r="M258" s="58">
        <v>4741749</v>
      </c>
      <c r="N258" s="55">
        <f>+O258+P258</f>
        <v>0</v>
      </c>
      <c r="O258" s="58"/>
      <c r="P258" s="58"/>
    </row>
    <row r="259" spans="1:16" s="153" customFormat="1" ht="31.5" x14ac:dyDescent="0.25">
      <c r="A259" s="116"/>
      <c r="B259" s="116" t="s">
        <v>105</v>
      </c>
      <c r="C259" s="62">
        <f t="shared" ref="C259" si="538">+C260+C263</f>
        <v>19481415</v>
      </c>
      <c r="D259" s="62">
        <f t="shared" ref="D259:J259" si="539">+D260+D263</f>
        <v>18787380</v>
      </c>
      <c r="E259" s="62">
        <f t="shared" si="539"/>
        <v>14406081</v>
      </c>
      <c r="F259" s="62">
        <f t="shared" si="539"/>
        <v>4381299</v>
      </c>
      <c r="G259" s="62">
        <f t="shared" ref="G259:I259" si="540">+G260+G263</f>
        <v>694035</v>
      </c>
      <c r="H259" s="62">
        <f t="shared" si="540"/>
        <v>669731</v>
      </c>
      <c r="I259" s="62">
        <f t="shared" si="540"/>
        <v>24304</v>
      </c>
      <c r="J259" s="62">
        <f t="shared" si="539"/>
        <v>4159491</v>
      </c>
      <c r="K259" s="62">
        <f t="shared" ref="K259:P259" si="541">+K260+K263</f>
        <v>4159491</v>
      </c>
      <c r="L259" s="62">
        <f t="shared" si="541"/>
        <v>3230488</v>
      </c>
      <c r="M259" s="62">
        <f t="shared" si="541"/>
        <v>929003</v>
      </c>
      <c r="N259" s="62">
        <f t="shared" si="541"/>
        <v>0</v>
      </c>
      <c r="O259" s="62">
        <f t="shared" si="541"/>
        <v>0</v>
      </c>
      <c r="P259" s="62">
        <f t="shared" si="541"/>
        <v>0</v>
      </c>
    </row>
    <row r="260" spans="1:16" s="153" customFormat="1" ht="17.25" customHeight="1" x14ac:dyDescent="0.25">
      <c r="A260" s="127"/>
      <c r="B260" s="127" t="s">
        <v>608</v>
      </c>
      <c r="C260" s="55">
        <f>C261+C262</f>
        <v>19481415</v>
      </c>
      <c r="D260" s="55">
        <f t="shared" ref="D260:J260" si="542">D261+D262</f>
        <v>18787380</v>
      </c>
      <c r="E260" s="55">
        <f t="shared" si="542"/>
        <v>14406081</v>
      </c>
      <c r="F260" s="55">
        <f t="shared" si="542"/>
        <v>4381299</v>
      </c>
      <c r="G260" s="55">
        <f t="shared" ref="G260:I260" si="543">G261+G262</f>
        <v>694035</v>
      </c>
      <c r="H260" s="55">
        <f t="shared" si="543"/>
        <v>669731</v>
      </c>
      <c r="I260" s="55">
        <f t="shared" si="543"/>
        <v>24304</v>
      </c>
      <c r="J260" s="55">
        <f t="shared" si="542"/>
        <v>4159491</v>
      </c>
      <c r="K260" s="55">
        <f t="shared" ref="K260:P260" si="544">K261+K262</f>
        <v>4159491</v>
      </c>
      <c r="L260" s="55">
        <f t="shared" si="544"/>
        <v>3230488</v>
      </c>
      <c r="M260" s="55">
        <f t="shared" si="544"/>
        <v>929003</v>
      </c>
      <c r="N260" s="55">
        <f t="shared" si="544"/>
        <v>0</v>
      </c>
      <c r="O260" s="55">
        <f t="shared" si="544"/>
        <v>0</v>
      </c>
      <c r="P260" s="55">
        <f t="shared" si="544"/>
        <v>0</v>
      </c>
    </row>
    <row r="261" spans="1:16" s="153" customFormat="1" ht="17.25" customHeight="1" x14ac:dyDescent="0.25">
      <c r="A261" s="128"/>
      <c r="B261" s="128" t="s">
        <v>609</v>
      </c>
      <c r="C261" s="66">
        <f t="shared" ref="C261:C262" si="545">+D261+G261</f>
        <v>19412180</v>
      </c>
      <c r="D261" s="66">
        <f t="shared" ref="D261:D262" si="546">+E261+F261</f>
        <v>18718145</v>
      </c>
      <c r="E261" s="96">
        <f>15027186-H261</f>
        <v>14357455</v>
      </c>
      <c r="F261" s="96">
        <f>4384994-I261</f>
        <v>4360690</v>
      </c>
      <c r="G261" s="66">
        <f t="shared" ref="G261:G268" si="547">+H261+I261</f>
        <v>694035</v>
      </c>
      <c r="H261" s="96">
        <v>669731</v>
      </c>
      <c r="I261" s="96">
        <v>24304</v>
      </c>
      <c r="J261" s="66">
        <f t="shared" ref="J261:J262" si="548">+K261+N261</f>
        <v>4152864</v>
      </c>
      <c r="K261" s="66">
        <f t="shared" ref="K261:K268" si="549">+L261+M261</f>
        <v>4152864</v>
      </c>
      <c r="L261" s="96">
        <v>3226955</v>
      </c>
      <c r="M261" s="96">
        <v>925909</v>
      </c>
      <c r="N261" s="66">
        <f t="shared" ref="N261:N268" si="550">+O261+P261</f>
        <v>0</v>
      </c>
      <c r="O261" s="96"/>
      <c r="P261" s="96"/>
    </row>
    <row r="262" spans="1:16" s="153" customFormat="1" ht="82.5" customHeight="1" x14ac:dyDescent="0.25">
      <c r="A262" s="128"/>
      <c r="B262" s="128" t="s">
        <v>77</v>
      </c>
      <c r="C262" s="66">
        <f t="shared" si="545"/>
        <v>69235</v>
      </c>
      <c r="D262" s="66">
        <f t="shared" si="546"/>
        <v>69235</v>
      </c>
      <c r="E262" s="96">
        <v>48626</v>
      </c>
      <c r="F262" s="96">
        <v>20609</v>
      </c>
      <c r="G262" s="66">
        <f t="shared" si="547"/>
        <v>0</v>
      </c>
      <c r="H262" s="96"/>
      <c r="I262" s="96"/>
      <c r="J262" s="66">
        <f t="shared" si="548"/>
        <v>6627</v>
      </c>
      <c r="K262" s="66">
        <f t="shared" si="549"/>
        <v>6627</v>
      </c>
      <c r="L262" s="96">
        <v>3533</v>
      </c>
      <c r="M262" s="96">
        <v>3094</v>
      </c>
      <c r="N262" s="66">
        <f t="shared" si="550"/>
        <v>0</v>
      </c>
      <c r="O262" s="96"/>
      <c r="P262" s="96"/>
    </row>
    <row r="263" spans="1:16" s="153" customFormat="1" x14ac:dyDescent="0.25">
      <c r="A263" s="127"/>
      <c r="B263" s="127" t="s">
        <v>98</v>
      </c>
      <c r="C263" s="55">
        <f t="shared" ref="C263:C268" si="551">+D263+G263</f>
        <v>0</v>
      </c>
      <c r="D263" s="55">
        <f t="shared" ref="D263:D268" si="552">+E263+F263</f>
        <v>0</v>
      </c>
      <c r="E263" s="58"/>
      <c r="F263" s="58"/>
      <c r="G263" s="55">
        <f t="shared" si="547"/>
        <v>0</v>
      </c>
      <c r="H263" s="58"/>
      <c r="I263" s="58"/>
      <c r="J263" s="55">
        <f t="shared" ref="J263:J268" si="553">+K263+N263</f>
        <v>0</v>
      </c>
      <c r="K263" s="55">
        <f t="shared" si="549"/>
        <v>0</v>
      </c>
      <c r="L263" s="58"/>
      <c r="M263" s="58"/>
      <c r="N263" s="55">
        <f t="shared" si="550"/>
        <v>0</v>
      </c>
      <c r="O263" s="58"/>
      <c r="P263" s="58"/>
    </row>
    <row r="264" spans="1:16" s="153" customFormat="1" ht="78.75" x14ac:dyDescent="0.25">
      <c r="A264" s="116"/>
      <c r="B264" s="116" t="s">
        <v>77</v>
      </c>
      <c r="C264" s="55">
        <f t="shared" si="551"/>
        <v>719726</v>
      </c>
      <c r="D264" s="55">
        <f t="shared" si="552"/>
        <v>719726</v>
      </c>
      <c r="E264" s="58">
        <v>706742</v>
      </c>
      <c r="F264" s="58">
        <v>12984</v>
      </c>
      <c r="G264" s="55">
        <f t="shared" si="547"/>
        <v>0</v>
      </c>
      <c r="H264" s="58"/>
      <c r="I264" s="58"/>
      <c r="J264" s="55">
        <f t="shared" si="553"/>
        <v>79972</v>
      </c>
      <c r="K264" s="55">
        <f t="shared" si="549"/>
        <v>79972</v>
      </c>
      <c r="L264" s="58">
        <v>78625</v>
      </c>
      <c r="M264" s="58">
        <v>1347</v>
      </c>
      <c r="N264" s="55">
        <f t="shared" si="550"/>
        <v>0</v>
      </c>
      <c r="O264" s="58"/>
      <c r="P264" s="58"/>
    </row>
    <row r="265" spans="1:16" s="153" customFormat="1" ht="47.25" x14ac:dyDescent="0.25">
      <c r="A265" s="116"/>
      <c r="B265" s="116" t="s">
        <v>102</v>
      </c>
      <c r="C265" s="55">
        <f t="shared" si="551"/>
        <v>0</v>
      </c>
      <c r="D265" s="55">
        <f t="shared" si="552"/>
        <v>0</v>
      </c>
      <c r="E265" s="58"/>
      <c r="F265" s="58"/>
      <c r="G265" s="55">
        <f t="shared" si="547"/>
        <v>0</v>
      </c>
      <c r="H265" s="58"/>
      <c r="I265" s="58"/>
      <c r="J265" s="55">
        <f t="shared" si="553"/>
        <v>0</v>
      </c>
      <c r="K265" s="55">
        <f t="shared" si="549"/>
        <v>0</v>
      </c>
      <c r="L265" s="58"/>
      <c r="M265" s="58"/>
      <c r="N265" s="55">
        <f t="shared" si="550"/>
        <v>0</v>
      </c>
      <c r="O265" s="58"/>
      <c r="P265" s="58"/>
    </row>
    <row r="266" spans="1:16" s="153" customFormat="1" ht="31.5" x14ac:dyDescent="0.25">
      <c r="A266" s="116"/>
      <c r="B266" s="116" t="s">
        <v>118</v>
      </c>
      <c r="C266" s="55">
        <f t="shared" si="551"/>
        <v>14030180</v>
      </c>
      <c r="D266" s="55">
        <f t="shared" si="552"/>
        <v>12937382</v>
      </c>
      <c r="E266" s="58">
        <f>14030180-H266</f>
        <v>12937382</v>
      </c>
      <c r="F266" s="58">
        <v>0</v>
      </c>
      <c r="G266" s="55">
        <f t="shared" si="547"/>
        <v>1092798</v>
      </c>
      <c r="H266" s="58">
        <v>1092798</v>
      </c>
      <c r="I266" s="58"/>
      <c r="J266" s="55">
        <f t="shared" si="553"/>
        <v>955500</v>
      </c>
      <c r="K266" s="55">
        <f t="shared" si="549"/>
        <v>955500</v>
      </c>
      <c r="L266" s="58">
        <v>955500</v>
      </c>
      <c r="M266" s="58">
        <v>0</v>
      </c>
      <c r="N266" s="55">
        <f t="shared" si="550"/>
        <v>0</v>
      </c>
      <c r="O266" s="58"/>
      <c r="P266" s="58"/>
    </row>
    <row r="267" spans="1:16" s="153" customFormat="1" x14ac:dyDescent="0.25">
      <c r="A267" s="116"/>
      <c r="B267" s="116" t="s">
        <v>87</v>
      </c>
      <c r="C267" s="55">
        <f t="shared" si="551"/>
        <v>2098003</v>
      </c>
      <c r="D267" s="55">
        <f t="shared" si="552"/>
        <v>2098003</v>
      </c>
      <c r="E267" s="58">
        <v>2098003</v>
      </c>
      <c r="F267" s="58"/>
      <c r="G267" s="55">
        <f t="shared" si="547"/>
        <v>0</v>
      </c>
      <c r="H267" s="58"/>
      <c r="I267" s="58"/>
      <c r="J267" s="55">
        <f t="shared" si="553"/>
        <v>0</v>
      </c>
      <c r="K267" s="55">
        <f t="shared" si="549"/>
        <v>0</v>
      </c>
      <c r="L267" s="58">
        <v>0</v>
      </c>
      <c r="M267" s="58">
        <v>0</v>
      </c>
      <c r="N267" s="55">
        <f t="shared" si="550"/>
        <v>0</v>
      </c>
      <c r="O267" s="58"/>
      <c r="P267" s="58"/>
    </row>
    <row r="268" spans="1:16" s="153" customFormat="1" ht="63" x14ac:dyDescent="0.25">
      <c r="A268" s="119"/>
      <c r="B268" s="116" t="s">
        <v>385</v>
      </c>
      <c r="C268" s="55">
        <f t="shared" si="551"/>
        <v>10695</v>
      </c>
      <c r="D268" s="55">
        <f t="shared" si="552"/>
        <v>10695</v>
      </c>
      <c r="E268" s="58">
        <v>10695</v>
      </c>
      <c r="F268" s="58">
        <v>0</v>
      </c>
      <c r="G268" s="55">
        <f t="shared" si="547"/>
        <v>0</v>
      </c>
      <c r="H268" s="58"/>
      <c r="I268" s="58"/>
      <c r="J268" s="55">
        <f t="shared" si="553"/>
        <v>1076</v>
      </c>
      <c r="K268" s="55">
        <f t="shared" si="549"/>
        <v>1076</v>
      </c>
      <c r="L268" s="58">
        <v>1076</v>
      </c>
      <c r="M268" s="58">
        <v>0</v>
      </c>
      <c r="N268" s="55">
        <f t="shared" si="550"/>
        <v>0</v>
      </c>
      <c r="O268" s="58"/>
      <c r="P268" s="58"/>
    </row>
    <row r="269" spans="1:16" s="153" customFormat="1" ht="63" x14ac:dyDescent="0.25">
      <c r="A269" s="129"/>
      <c r="B269" s="129" t="s">
        <v>119</v>
      </c>
      <c r="C269" s="57">
        <f t="shared" ref="C269" si="554">C270+C271</f>
        <v>0</v>
      </c>
      <c r="D269" s="57">
        <f t="shared" ref="D269:J269" si="555">D270+D271</f>
        <v>0</v>
      </c>
      <c r="E269" s="56">
        <f t="shared" si="555"/>
        <v>0</v>
      </c>
      <c r="F269" s="56">
        <f t="shared" si="555"/>
        <v>0</v>
      </c>
      <c r="G269" s="57">
        <f t="shared" ref="G269:I269" si="556">G270+G271</f>
        <v>0</v>
      </c>
      <c r="H269" s="56">
        <f t="shared" si="556"/>
        <v>0</v>
      </c>
      <c r="I269" s="56">
        <f t="shared" si="556"/>
        <v>0</v>
      </c>
      <c r="J269" s="57">
        <f t="shared" si="555"/>
        <v>0</v>
      </c>
      <c r="K269" s="57">
        <f t="shared" ref="K269:P269" si="557">K270+K271</f>
        <v>0</v>
      </c>
      <c r="L269" s="56">
        <f t="shared" si="557"/>
        <v>0</v>
      </c>
      <c r="M269" s="56">
        <f t="shared" si="557"/>
        <v>0</v>
      </c>
      <c r="N269" s="57">
        <f t="shared" si="557"/>
        <v>0</v>
      </c>
      <c r="O269" s="56">
        <f t="shared" si="557"/>
        <v>0</v>
      </c>
      <c r="P269" s="56">
        <f t="shared" si="557"/>
        <v>0</v>
      </c>
    </row>
    <row r="270" spans="1:16" s="153" customFormat="1" x14ac:dyDescent="0.25">
      <c r="A270" s="127"/>
      <c r="B270" s="127" t="s">
        <v>75</v>
      </c>
      <c r="C270" s="55">
        <f t="shared" ref="C270:C271" si="558">+D270+G270</f>
        <v>0</v>
      </c>
      <c r="D270" s="55">
        <f t="shared" ref="D270:D271" si="559">+E270+F270</f>
        <v>0</v>
      </c>
      <c r="E270" s="58"/>
      <c r="F270" s="58"/>
      <c r="G270" s="55">
        <f t="shared" ref="G270:G271" si="560">+H270+I270</f>
        <v>0</v>
      </c>
      <c r="H270" s="58"/>
      <c r="I270" s="58"/>
      <c r="J270" s="55">
        <f t="shared" ref="J270:J271" si="561">+K270+N270</f>
        <v>0</v>
      </c>
      <c r="K270" s="55">
        <f t="shared" ref="K270:K271" si="562">+L270+M270</f>
        <v>0</v>
      </c>
      <c r="L270" s="58"/>
      <c r="M270" s="58"/>
      <c r="N270" s="55">
        <f t="shared" ref="N270:N271" si="563">+O270+P270</f>
        <v>0</v>
      </c>
      <c r="O270" s="58"/>
      <c r="P270" s="58"/>
    </row>
    <row r="271" spans="1:16" ht="78.75" x14ac:dyDescent="0.25">
      <c r="A271" s="127"/>
      <c r="B271" s="127" t="s">
        <v>77</v>
      </c>
      <c r="C271" s="55">
        <f t="shared" si="558"/>
        <v>0</v>
      </c>
      <c r="D271" s="55">
        <f t="shared" si="559"/>
        <v>0</v>
      </c>
      <c r="E271" s="58"/>
      <c r="F271" s="58"/>
      <c r="G271" s="55">
        <f t="shared" si="560"/>
        <v>0</v>
      </c>
      <c r="H271" s="58"/>
      <c r="I271" s="58"/>
      <c r="J271" s="55">
        <f t="shared" si="561"/>
        <v>0</v>
      </c>
      <c r="K271" s="55">
        <f t="shared" si="562"/>
        <v>0</v>
      </c>
      <c r="L271" s="58"/>
      <c r="M271" s="58"/>
      <c r="N271" s="55">
        <f t="shared" si="563"/>
        <v>0</v>
      </c>
      <c r="O271" s="58"/>
      <c r="P271" s="58"/>
    </row>
    <row r="272" spans="1:16" s="153" customFormat="1" ht="31.5" x14ac:dyDescent="0.25">
      <c r="A272" s="46"/>
      <c r="B272" s="46" t="s">
        <v>120</v>
      </c>
      <c r="C272" s="54">
        <f t="shared" ref="C272" si="564">C273+C274</f>
        <v>0</v>
      </c>
      <c r="D272" s="54">
        <f t="shared" ref="D272:J272" si="565">D273+D274</f>
        <v>0</v>
      </c>
      <c r="E272" s="62">
        <f t="shared" si="565"/>
        <v>0</v>
      </c>
      <c r="F272" s="62">
        <f t="shared" si="565"/>
        <v>0</v>
      </c>
      <c r="G272" s="54">
        <f t="shared" ref="G272:I272" si="566">G273+G274</f>
        <v>0</v>
      </c>
      <c r="H272" s="62">
        <f t="shared" si="566"/>
        <v>0</v>
      </c>
      <c r="I272" s="62">
        <f t="shared" si="566"/>
        <v>0</v>
      </c>
      <c r="J272" s="54">
        <f t="shared" si="565"/>
        <v>0</v>
      </c>
      <c r="K272" s="54">
        <f t="shared" ref="K272:P272" si="567">K273+K274</f>
        <v>0</v>
      </c>
      <c r="L272" s="62">
        <f t="shared" si="567"/>
        <v>0</v>
      </c>
      <c r="M272" s="62">
        <f t="shared" si="567"/>
        <v>0</v>
      </c>
      <c r="N272" s="54">
        <f t="shared" si="567"/>
        <v>0</v>
      </c>
      <c r="O272" s="62">
        <f t="shared" si="567"/>
        <v>0</v>
      </c>
      <c r="P272" s="62">
        <f t="shared" si="567"/>
        <v>0</v>
      </c>
    </row>
    <row r="273" spans="1:16" x14ac:dyDescent="0.25">
      <c r="A273" s="47"/>
      <c r="B273" s="47" t="s">
        <v>81</v>
      </c>
      <c r="C273" s="55">
        <f t="shared" ref="C273:C274" si="568">+D273+G273</f>
        <v>0</v>
      </c>
      <c r="D273" s="55">
        <f t="shared" ref="D273:D274" si="569">+E273+F273</f>
        <v>0</v>
      </c>
      <c r="E273" s="58"/>
      <c r="F273" s="58"/>
      <c r="G273" s="55">
        <f t="shared" ref="G273:G274" si="570">+H273+I273</f>
        <v>0</v>
      </c>
      <c r="H273" s="58"/>
      <c r="I273" s="58"/>
      <c r="J273" s="55">
        <f t="shared" ref="J273:J274" si="571">+K273+N273</f>
        <v>0</v>
      </c>
      <c r="K273" s="55">
        <f t="shared" ref="K273:K274" si="572">+L273+M273</f>
        <v>0</v>
      </c>
      <c r="L273" s="58"/>
      <c r="M273" s="58"/>
      <c r="N273" s="55">
        <f t="shared" ref="N273:N274" si="573">+O273+P273</f>
        <v>0</v>
      </c>
      <c r="O273" s="58"/>
      <c r="P273" s="58"/>
    </row>
    <row r="274" spans="1:16" ht="78.75" x14ac:dyDescent="0.25">
      <c r="A274" s="127"/>
      <c r="B274" s="127" t="s">
        <v>77</v>
      </c>
      <c r="C274" s="55">
        <f t="shared" si="568"/>
        <v>0</v>
      </c>
      <c r="D274" s="55">
        <f t="shared" si="569"/>
        <v>0</v>
      </c>
      <c r="E274" s="58"/>
      <c r="F274" s="58"/>
      <c r="G274" s="55">
        <f t="shared" si="570"/>
        <v>0</v>
      </c>
      <c r="H274" s="58"/>
      <c r="I274" s="58"/>
      <c r="J274" s="55">
        <f t="shared" si="571"/>
        <v>0</v>
      </c>
      <c r="K274" s="55">
        <f t="shared" si="572"/>
        <v>0</v>
      </c>
      <c r="L274" s="58"/>
      <c r="M274" s="58"/>
      <c r="N274" s="55">
        <f t="shared" si="573"/>
        <v>0</v>
      </c>
      <c r="O274" s="58"/>
      <c r="P274" s="58"/>
    </row>
    <row r="275" spans="1:16" s="153" customFormat="1" ht="31.5" x14ac:dyDescent="0.25">
      <c r="A275" s="46"/>
      <c r="B275" s="46" t="s">
        <v>225</v>
      </c>
      <c r="C275" s="57">
        <f>+C276+C277</f>
        <v>9439836</v>
      </c>
      <c r="D275" s="57">
        <f t="shared" ref="D275:F275" si="574">+D276+D277</f>
        <v>8906022</v>
      </c>
      <c r="E275" s="56">
        <f t="shared" si="574"/>
        <v>8906022</v>
      </c>
      <c r="F275" s="56">
        <f t="shared" si="574"/>
        <v>0</v>
      </c>
      <c r="G275" s="57">
        <f t="shared" ref="G275:I275" si="575">+G276+G277</f>
        <v>533814</v>
      </c>
      <c r="H275" s="56">
        <f t="shared" si="575"/>
        <v>533814</v>
      </c>
      <c r="I275" s="56">
        <f t="shared" si="575"/>
        <v>0</v>
      </c>
      <c r="J275" s="57">
        <f>+J276+J277</f>
        <v>1059738</v>
      </c>
      <c r="K275" s="57">
        <f t="shared" ref="K275:P275" si="576">+K276+K277</f>
        <v>1059738</v>
      </c>
      <c r="L275" s="56">
        <f t="shared" si="576"/>
        <v>1059738</v>
      </c>
      <c r="M275" s="56">
        <f t="shared" si="576"/>
        <v>0</v>
      </c>
      <c r="N275" s="57">
        <f t="shared" si="576"/>
        <v>0</v>
      </c>
      <c r="O275" s="56">
        <f t="shared" si="576"/>
        <v>0</v>
      </c>
      <c r="P275" s="56">
        <f t="shared" si="576"/>
        <v>0</v>
      </c>
    </row>
    <row r="276" spans="1:16" s="153" customFormat="1" x14ac:dyDescent="0.25">
      <c r="A276" s="117"/>
      <c r="B276" s="117" t="s">
        <v>81</v>
      </c>
      <c r="C276" s="55">
        <f t="shared" ref="C276" si="577">+D276+G276</f>
        <v>9431730</v>
      </c>
      <c r="D276" s="55">
        <f t="shared" ref="D276" si="578">+E276+F276</f>
        <v>8897916</v>
      </c>
      <c r="E276" s="58">
        <f>9431730-H276</f>
        <v>8897916</v>
      </c>
      <c r="F276" s="58">
        <v>0</v>
      </c>
      <c r="G276" s="55">
        <f t="shared" ref="G276:G279" si="579">+H276+I276</f>
        <v>533814</v>
      </c>
      <c r="H276" s="58">
        <v>533814</v>
      </c>
      <c r="I276" s="58"/>
      <c r="J276" s="55">
        <f t="shared" ref="J276:J280" si="580">+K276+N276</f>
        <v>1059738</v>
      </c>
      <c r="K276" s="55">
        <f t="shared" ref="K276:K279" si="581">+L276+M276</f>
        <v>1059738</v>
      </c>
      <c r="L276" s="58">
        <v>1059738</v>
      </c>
      <c r="M276" s="58">
        <v>0</v>
      </c>
      <c r="N276" s="55">
        <f t="shared" ref="N276:N279" si="582">+O276+P276</f>
        <v>0</v>
      </c>
      <c r="O276" s="58"/>
      <c r="P276" s="58"/>
    </row>
    <row r="277" spans="1:16" s="153" customFormat="1" ht="78.75" x14ac:dyDescent="0.25">
      <c r="A277" s="116"/>
      <c r="B277" s="116" t="s">
        <v>77</v>
      </c>
      <c r="C277" s="55">
        <f t="shared" ref="C277" si="583">+D277+G277</f>
        <v>8106</v>
      </c>
      <c r="D277" s="55">
        <f t="shared" ref="D277" si="584">+E277+F277</f>
        <v>8106</v>
      </c>
      <c r="E277" s="58">
        <v>8106</v>
      </c>
      <c r="F277" s="58">
        <v>0</v>
      </c>
      <c r="G277" s="55">
        <f t="shared" si="579"/>
        <v>0</v>
      </c>
      <c r="H277" s="58">
        <v>0</v>
      </c>
      <c r="I277" s="58">
        <v>0</v>
      </c>
      <c r="J277" s="55">
        <f t="shared" si="580"/>
        <v>0</v>
      </c>
      <c r="K277" s="55">
        <f t="shared" si="581"/>
        <v>0</v>
      </c>
      <c r="L277" s="58">
        <v>0</v>
      </c>
      <c r="M277" s="58">
        <v>0</v>
      </c>
      <c r="N277" s="55">
        <f t="shared" si="582"/>
        <v>0</v>
      </c>
      <c r="O277" s="58"/>
      <c r="P277" s="58"/>
    </row>
    <row r="278" spans="1:16" s="154" customFormat="1" x14ac:dyDescent="0.25">
      <c r="A278" s="46"/>
      <c r="B278" s="46" t="s">
        <v>121</v>
      </c>
      <c r="C278" s="55">
        <f t="shared" ref="C278:C280" si="585">+D278+G278</f>
        <v>0</v>
      </c>
      <c r="D278" s="55">
        <f t="shared" ref="D278:D279" si="586">+E278+F278</f>
        <v>0</v>
      </c>
      <c r="E278" s="58"/>
      <c r="F278" s="58"/>
      <c r="G278" s="55">
        <f t="shared" si="579"/>
        <v>0</v>
      </c>
      <c r="H278" s="58"/>
      <c r="I278" s="58"/>
      <c r="J278" s="55">
        <f t="shared" si="580"/>
        <v>0</v>
      </c>
      <c r="K278" s="55">
        <f t="shared" si="581"/>
        <v>0</v>
      </c>
      <c r="L278" s="58"/>
      <c r="M278" s="58"/>
      <c r="N278" s="55">
        <f t="shared" si="582"/>
        <v>0</v>
      </c>
      <c r="O278" s="58"/>
      <c r="P278" s="58"/>
    </row>
    <row r="279" spans="1:16" s="154" customFormat="1" x14ac:dyDescent="0.25">
      <c r="A279" s="46"/>
      <c r="B279" s="46" t="s">
        <v>100</v>
      </c>
      <c r="C279" s="55">
        <f t="shared" si="585"/>
        <v>0</v>
      </c>
      <c r="D279" s="55">
        <f t="shared" si="586"/>
        <v>0</v>
      </c>
      <c r="E279" s="58"/>
      <c r="F279" s="58"/>
      <c r="G279" s="55">
        <f t="shared" si="579"/>
        <v>0</v>
      </c>
      <c r="H279" s="58"/>
      <c r="I279" s="58"/>
      <c r="J279" s="55">
        <f t="shared" si="580"/>
        <v>0</v>
      </c>
      <c r="K279" s="55">
        <f t="shared" si="581"/>
        <v>0</v>
      </c>
      <c r="L279" s="58"/>
      <c r="M279" s="58"/>
      <c r="N279" s="55">
        <f t="shared" si="582"/>
        <v>0</v>
      </c>
      <c r="O279" s="58"/>
      <c r="P279" s="58"/>
    </row>
    <row r="280" spans="1:16" s="154" customFormat="1" ht="36" customHeight="1" x14ac:dyDescent="0.25">
      <c r="A280" s="120"/>
      <c r="B280" s="115" t="s">
        <v>391</v>
      </c>
      <c r="C280" s="55">
        <f t="shared" si="585"/>
        <v>-975438</v>
      </c>
      <c r="D280" s="58"/>
      <c r="E280" s="58" t="s">
        <v>614</v>
      </c>
      <c r="F280" s="58" t="s">
        <v>614</v>
      </c>
      <c r="G280" s="58">
        <v>-975438</v>
      </c>
      <c r="H280" s="58" t="s">
        <v>614</v>
      </c>
      <c r="I280" s="58" t="s">
        <v>614</v>
      </c>
      <c r="J280" s="55">
        <f t="shared" si="580"/>
        <v>-142482</v>
      </c>
      <c r="K280" s="58"/>
      <c r="L280" s="58" t="s">
        <v>614</v>
      </c>
      <c r="M280" s="58" t="s">
        <v>614</v>
      </c>
      <c r="N280" s="58">
        <v>-142482</v>
      </c>
      <c r="O280" s="58" t="s">
        <v>614</v>
      </c>
      <c r="P280" s="58" t="s">
        <v>614</v>
      </c>
    </row>
    <row r="281" spans="1:16" s="153" customFormat="1" ht="31.5" x14ac:dyDescent="0.25">
      <c r="A281" s="46" t="s">
        <v>317</v>
      </c>
      <c r="B281" s="46" t="s">
        <v>122</v>
      </c>
      <c r="C281" s="54">
        <f t="shared" ref="C281" si="587">+C282+C283+C284+C285+C286+C287</f>
        <v>0</v>
      </c>
      <c r="D281" s="54">
        <f t="shared" ref="D281:J281" si="588">+D282+D283+D284+D285+D286+D287</f>
        <v>0</v>
      </c>
      <c r="E281" s="62">
        <f t="shared" si="588"/>
        <v>0</v>
      </c>
      <c r="F281" s="62">
        <f t="shared" si="588"/>
        <v>0</v>
      </c>
      <c r="G281" s="54">
        <f t="shared" ref="G281:I281" si="589">+G282+G283+G284+G285+G286+G287</f>
        <v>0</v>
      </c>
      <c r="H281" s="62">
        <f t="shared" si="589"/>
        <v>0</v>
      </c>
      <c r="I281" s="62">
        <f t="shared" si="589"/>
        <v>0</v>
      </c>
      <c r="J281" s="54">
        <f t="shared" si="588"/>
        <v>0</v>
      </c>
      <c r="K281" s="54">
        <f t="shared" ref="K281:P281" si="590">+K282+K283+K284+K285+K286+K287</f>
        <v>0</v>
      </c>
      <c r="L281" s="62">
        <f t="shared" si="590"/>
        <v>0</v>
      </c>
      <c r="M281" s="62">
        <f t="shared" si="590"/>
        <v>0</v>
      </c>
      <c r="N281" s="54">
        <f t="shared" si="590"/>
        <v>0</v>
      </c>
      <c r="O281" s="62">
        <f t="shared" si="590"/>
        <v>0</v>
      </c>
      <c r="P281" s="62">
        <f t="shared" si="590"/>
        <v>0</v>
      </c>
    </row>
    <row r="282" spans="1:16" x14ac:dyDescent="0.25">
      <c r="A282" s="117"/>
      <c r="B282" s="117" t="s">
        <v>75</v>
      </c>
      <c r="C282" s="55">
        <f t="shared" ref="C282:C288" si="591">+D282+G282</f>
        <v>0</v>
      </c>
      <c r="D282" s="55">
        <f t="shared" ref="D282:D287" si="592">+E282+F282</f>
        <v>0</v>
      </c>
      <c r="E282" s="58"/>
      <c r="F282" s="58"/>
      <c r="G282" s="55">
        <f t="shared" ref="G282:G287" si="593">+H282+I282</f>
        <v>0</v>
      </c>
      <c r="H282" s="58"/>
      <c r="I282" s="58"/>
      <c r="J282" s="55">
        <f t="shared" ref="J282:J288" si="594">+K282+N282</f>
        <v>0</v>
      </c>
      <c r="K282" s="55">
        <f t="shared" ref="K282:K287" si="595">+L282+M282</f>
        <v>0</v>
      </c>
      <c r="L282" s="58"/>
      <c r="M282" s="58"/>
      <c r="N282" s="55">
        <f t="shared" ref="N282:N287" si="596">+O282+P282</f>
        <v>0</v>
      </c>
      <c r="O282" s="58"/>
      <c r="P282" s="58"/>
    </row>
    <row r="283" spans="1:16" ht="31.5" x14ac:dyDescent="0.25">
      <c r="A283" s="125"/>
      <c r="B283" s="125" t="s">
        <v>113</v>
      </c>
      <c r="C283" s="55">
        <f t="shared" si="591"/>
        <v>0</v>
      </c>
      <c r="D283" s="55">
        <f t="shared" si="592"/>
        <v>0</v>
      </c>
      <c r="E283" s="58"/>
      <c r="F283" s="58"/>
      <c r="G283" s="55">
        <f t="shared" si="593"/>
        <v>0</v>
      </c>
      <c r="H283" s="58"/>
      <c r="I283" s="58"/>
      <c r="J283" s="55">
        <f t="shared" si="594"/>
        <v>0</v>
      </c>
      <c r="K283" s="55">
        <f t="shared" si="595"/>
        <v>0</v>
      </c>
      <c r="L283" s="58"/>
      <c r="M283" s="58"/>
      <c r="N283" s="55">
        <f t="shared" si="596"/>
        <v>0</v>
      </c>
      <c r="O283" s="58"/>
      <c r="P283" s="58"/>
    </row>
    <row r="284" spans="1:16" x14ac:dyDescent="0.25">
      <c r="A284" s="117"/>
      <c r="B284" s="117" t="s">
        <v>78</v>
      </c>
      <c r="C284" s="55">
        <f t="shared" si="591"/>
        <v>0</v>
      </c>
      <c r="D284" s="55">
        <f t="shared" si="592"/>
        <v>0</v>
      </c>
      <c r="E284" s="58"/>
      <c r="F284" s="58"/>
      <c r="G284" s="55">
        <f t="shared" si="593"/>
        <v>0</v>
      </c>
      <c r="H284" s="58"/>
      <c r="I284" s="58"/>
      <c r="J284" s="55">
        <f t="shared" si="594"/>
        <v>0</v>
      </c>
      <c r="K284" s="55">
        <f t="shared" si="595"/>
        <v>0</v>
      </c>
      <c r="L284" s="58"/>
      <c r="M284" s="58"/>
      <c r="N284" s="55">
        <f t="shared" si="596"/>
        <v>0</v>
      </c>
      <c r="O284" s="58"/>
      <c r="P284" s="58"/>
    </row>
    <row r="285" spans="1:16" ht="78.75" x14ac:dyDescent="0.25">
      <c r="A285" s="116"/>
      <c r="B285" s="116" t="s">
        <v>77</v>
      </c>
      <c r="C285" s="55">
        <f t="shared" si="591"/>
        <v>0</v>
      </c>
      <c r="D285" s="55">
        <f t="shared" si="592"/>
        <v>0</v>
      </c>
      <c r="E285" s="58"/>
      <c r="F285" s="58"/>
      <c r="G285" s="55">
        <f t="shared" si="593"/>
        <v>0</v>
      </c>
      <c r="H285" s="58"/>
      <c r="I285" s="58"/>
      <c r="J285" s="55">
        <f t="shared" si="594"/>
        <v>0</v>
      </c>
      <c r="K285" s="55">
        <f t="shared" si="595"/>
        <v>0</v>
      </c>
      <c r="L285" s="58"/>
      <c r="M285" s="58"/>
      <c r="N285" s="55">
        <f t="shared" si="596"/>
        <v>0</v>
      </c>
      <c r="O285" s="58"/>
      <c r="P285" s="58"/>
    </row>
    <row r="286" spans="1:16" ht="31.5" x14ac:dyDescent="0.25">
      <c r="A286" s="116"/>
      <c r="B286" s="116" t="s">
        <v>118</v>
      </c>
      <c r="C286" s="55">
        <f t="shared" si="591"/>
        <v>0</v>
      </c>
      <c r="D286" s="55">
        <f t="shared" si="592"/>
        <v>0</v>
      </c>
      <c r="E286" s="58"/>
      <c r="F286" s="58"/>
      <c r="G286" s="55">
        <f t="shared" si="593"/>
        <v>0</v>
      </c>
      <c r="H286" s="58"/>
      <c r="I286" s="58"/>
      <c r="J286" s="55">
        <f t="shared" si="594"/>
        <v>0</v>
      </c>
      <c r="K286" s="55">
        <f t="shared" si="595"/>
        <v>0</v>
      </c>
      <c r="L286" s="58"/>
      <c r="M286" s="58"/>
      <c r="N286" s="55">
        <f t="shared" si="596"/>
        <v>0</v>
      </c>
      <c r="O286" s="58"/>
      <c r="P286" s="58"/>
    </row>
    <row r="287" spans="1:16" x14ac:dyDescent="0.25">
      <c r="A287" s="116"/>
      <c r="B287" s="116" t="s">
        <v>87</v>
      </c>
      <c r="C287" s="55">
        <f t="shared" si="591"/>
        <v>0</v>
      </c>
      <c r="D287" s="55">
        <f t="shared" si="592"/>
        <v>0</v>
      </c>
      <c r="E287" s="58"/>
      <c r="F287" s="58"/>
      <c r="G287" s="55">
        <f t="shared" si="593"/>
        <v>0</v>
      </c>
      <c r="H287" s="58"/>
      <c r="I287" s="58"/>
      <c r="J287" s="55">
        <f t="shared" si="594"/>
        <v>0</v>
      </c>
      <c r="K287" s="55">
        <f t="shared" si="595"/>
        <v>0</v>
      </c>
      <c r="L287" s="58"/>
      <c r="M287" s="58"/>
      <c r="N287" s="55">
        <f t="shared" si="596"/>
        <v>0</v>
      </c>
      <c r="O287" s="58"/>
      <c r="P287" s="58"/>
    </row>
    <row r="288" spans="1:16" ht="18.75" customHeight="1" x14ac:dyDescent="0.25">
      <c r="A288" s="119"/>
      <c r="B288" s="115" t="s">
        <v>391</v>
      </c>
      <c r="C288" s="55">
        <f t="shared" si="591"/>
        <v>0</v>
      </c>
      <c r="D288" s="58"/>
      <c r="E288" s="58" t="s">
        <v>614</v>
      </c>
      <c r="F288" s="58" t="s">
        <v>614</v>
      </c>
      <c r="G288" s="58">
        <v>0</v>
      </c>
      <c r="H288" s="58" t="s">
        <v>614</v>
      </c>
      <c r="I288" s="58" t="s">
        <v>614</v>
      </c>
      <c r="J288" s="55">
        <f t="shared" si="594"/>
        <v>0</v>
      </c>
      <c r="K288" s="58"/>
      <c r="L288" s="58" t="s">
        <v>614</v>
      </c>
      <c r="M288" s="58" t="s">
        <v>614</v>
      </c>
      <c r="N288" s="58">
        <v>0</v>
      </c>
      <c r="O288" s="58" t="s">
        <v>614</v>
      </c>
      <c r="P288" s="58" t="s">
        <v>614</v>
      </c>
    </row>
    <row r="289" spans="1:16" s="153" customFormat="1" x14ac:dyDescent="0.25">
      <c r="A289" s="46" t="s">
        <v>318</v>
      </c>
      <c r="B289" s="46" t="s">
        <v>123</v>
      </c>
      <c r="C289" s="63">
        <f t="shared" ref="C289" si="597">+C290+C291+C292+C293</f>
        <v>11533764</v>
      </c>
      <c r="D289" s="63">
        <f t="shared" ref="D289:J289" si="598">+D290+D291+D292+D293</f>
        <v>10436135</v>
      </c>
      <c r="E289" s="55">
        <f t="shared" si="598"/>
        <v>0</v>
      </c>
      <c r="F289" s="55">
        <f t="shared" si="598"/>
        <v>10436135</v>
      </c>
      <c r="G289" s="63">
        <f t="shared" ref="G289:I289" si="599">+G290+G291+G292+G293</f>
        <v>1097629</v>
      </c>
      <c r="H289" s="55">
        <f t="shared" si="599"/>
        <v>0</v>
      </c>
      <c r="I289" s="55">
        <f t="shared" si="599"/>
        <v>1097629</v>
      </c>
      <c r="J289" s="63">
        <f t="shared" si="598"/>
        <v>1035436</v>
      </c>
      <c r="K289" s="63">
        <f t="shared" ref="K289:P289" si="600">+K290+K291+K292+K293</f>
        <v>1035436</v>
      </c>
      <c r="L289" s="55">
        <f t="shared" si="600"/>
        <v>0</v>
      </c>
      <c r="M289" s="55">
        <f t="shared" si="600"/>
        <v>1035436</v>
      </c>
      <c r="N289" s="63">
        <f t="shared" si="600"/>
        <v>0</v>
      </c>
      <c r="O289" s="55">
        <f t="shared" si="600"/>
        <v>0</v>
      </c>
      <c r="P289" s="55">
        <f t="shared" si="600"/>
        <v>0</v>
      </c>
    </row>
    <row r="290" spans="1:16" s="153" customFormat="1" x14ac:dyDescent="0.25">
      <c r="A290" s="126"/>
      <c r="B290" s="126" t="s">
        <v>124</v>
      </c>
      <c r="C290" s="55">
        <f t="shared" ref="C290:C296" si="601">+D290+G290</f>
        <v>7774099</v>
      </c>
      <c r="D290" s="55">
        <f t="shared" ref="D290:D295" si="602">+E290+F290</f>
        <v>7006796</v>
      </c>
      <c r="E290" s="58">
        <v>0</v>
      </c>
      <c r="F290" s="58">
        <f>7774099-I290</f>
        <v>7006796</v>
      </c>
      <c r="G290" s="55">
        <f t="shared" ref="G290:G293" si="603">+H290+I290</f>
        <v>767303</v>
      </c>
      <c r="H290" s="58"/>
      <c r="I290" s="58">
        <v>767303</v>
      </c>
      <c r="J290" s="55">
        <f t="shared" ref="J290:J295" si="604">+K290+N290</f>
        <v>624085</v>
      </c>
      <c r="K290" s="55">
        <f t="shared" ref="K290:K293" si="605">+L290+M290</f>
        <v>624085</v>
      </c>
      <c r="L290" s="58">
        <v>0</v>
      </c>
      <c r="M290" s="58">
        <v>624085</v>
      </c>
      <c r="N290" s="55">
        <f t="shared" ref="N290:N293" si="606">+O290+P290</f>
        <v>0</v>
      </c>
      <c r="O290" s="58"/>
      <c r="P290" s="58"/>
    </row>
    <row r="291" spans="1:16" s="153" customFormat="1" ht="31.5" x14ac:dyDescent="0.25">
      <c r="A291" s="125"/>
      <c r="B291" s="125" t="s">
        <v>113</v>
      </c>
      <c r="C291" s="55">
        <f t="shared" si="601"/>
        <v>3753509</v>
      </c>
      <c r="D291" s="55">
        <f t="shared" si="602"/>
        <v>3423183</v>
      </c>
      <c r="E291" s="58">
        <v>0</v>
      </c>
      <c r="F291" s="58">
        <f>3753509-I291</f>
        <v>3423183</v>
      </c>
      <c r="G291" s="55">
        <f t="shared" si="603"/>
        <v>330326</v>
      </c>
      <c r="H291" s="58"/>
      <c r="I291" s="58">
        <v>330326</v>
      </c>
      <c r="J291" s="55">
        <f t="shared" si="604"/>
        <v>411351</v>
      </c>
      <c r="K291" s="55">
        <f t="shared" si="605"/>
        <v>411351</v>
      </c>
      <c r="L291" s="58">
        <v>0</v>
      </c>
      <c r="M291" s="58">
        <v>411351</v>
      </c>
      <c r="N291" s="55">
        <f t="shared" si="606"/>
        <v>0</v>
      </c>
      <c r="O291" s="58"/>
      <c r="P291" s="58"/>
    </row>
    <row r="292" spans="1:16" s="153" customFormat="1" ht="78.75" x14ac:dyDescent="0.25">
      <c r="A292" s="116"/>
      <c r="B292" s="116" t="s">
        <v>77</v>
      </c>
      <c r="C292" s="55">
        <f t="shared" si="601"/>
        <v>6156</v>
      </c>
      <c r="D292" s="55">
        <f t="shared" si="602"/>
        <v>6156</v>
      </c>
      <c r="E292" s="58">
        <v>0</v>
      </c>
      <c r="F292" s="58">
        <v>6156</v>
      </c>
      <c r="G292" s="55">
        <f t="shared" si="603"/>
        <v>0</v>
      </c>
      <c r="H292" s="58"/>
      <c r="I292" s="58"/>
      <c r="J292" s="55">
        <f t="shared" si="604"/>
        <v>0</v>
      </c>
      <c r="K292" s="55">
        <f t="shared" si="605"/>
        <v>0</v>
      </c>
      <c r="L292" s="58">
        <v>0</v>
      </c>
      <c r="M292" s="58">
        <v>0</v>
      </c>
      <c r="N292" s="55">
        <f t="shared" si="606"/>
        <v>0</v>
      </c>
      <c r="O292" s="58"/>
      <c r="P292" s="58"/>
    </row>
    <row r="293" spans="1:16" s="153" customFormat="1" x14ac:dyDescent="0.25">
      <c r="A293" s="116"/>
      <c r="B293" s="116" t="s">
        <v>100</v>
      </c>
      <c r="C293" s="55">
        <f t="shared" si="601"/>
        <v>0</v>
      </c>
      <c r="D293" s="55">
        <f t="shared" si="602"/>
        <v>0</v>
      </c>
      <c r="E293" s="58"/>
      <c r="F293" s="58"/>
      <c r="G293" s="55">
        <f t="shared" si="603"/>
        <v>0</v>
      </c>
      <c r="H293" s="58"/>
      <c r="I293" s="58"/>
      <c r="J293" s="55">
        <f t="shared" si="604"/>
        <v>0</v>
      </c>
      <c r="K293" s="55">
        <f t="shared" si="605"/>
        <v>0</v>
      </c>
      <c r="L293" s="58"/>
      <c r="M293" s="58"/>
      <c r="N293" s="55">
        <f t="shared" si="606"/>
        <v>0</v>
      </c>
      <c r="O293" s="58"/>
      <c r="P293" s="58"/>
    </row>
    <row r="294" spans="1:16" s="153" customFormat="1" ht="20.25" customHeight="1" x14ac:dyDescent="0.25">
      <c r="A294" s="119"/>
      <c r="B294" s="115" t="s">
        <v>391</v>
      </c>
      <c r="C294" s="55">
        <f t="shared" si="601"/>
        <v>-269685</v>
      </c>
      <c r="D294" s="58"/>
      <c r="E294" s="58" t="s">
        <v>614</v>
      </c>
      <c r="F294" s="58" t="s">
        <v>614</v>
      </c>
      <c r="G294" s="58">
        <v>-269685</v>
      </c>
      <c r="H294" s="58" t="s">
        <v>614</v>
      </c>
      <c r="I294" s="58" t="s">
        <v>614</v>
      </c>
      <c r="J294" s="55">
        <f t="shared" si="604"/>
        <v>0</v>
      </c>
      <c r="K294" s="58"/>
      <c r="L294" s="58" t="s">
        <v>614</v>
      </c>
      <c r="M294" s="58" t="s">
        <v>614</v>
      </c>
      <c r="N294" s="58">
        <v>0</v>
      </c>
      <c r="O294" s="58" t="s">
        <v>614</v>
      </c>
      <c r="P294" s="58" t="s">
        <v>614</v>
      </c>
    </row>
    <row r="295" spans="1:16" ht="31.5" x14ac:dyDescent="0.25">
      <c r="A295" s="46" t="s">
        <v>319</v>
      </c>
      <c r="B295" s="46" t="s">
        <v>125</v>
      </c>
      <c r="C295" s="63">
        <f t="shared" si="601"/>
        <v>21498946</v>
      </c>
      <c r="D295" s="63">
        <f t="shared" si="602"/>
        <v>2112726</v>
      </c>
      <c r="E295" s="171">
        <v>1746925</v>
      </c>
      <c r="F295" s="171">
        <f>355540+10261</f>
        <v>365801</v>
      </c>
      <c r="G295" s="63">
        <f t="shared" ref="G295" si="607">+H295+I295</f>
        <v>19386220</v>
      </c>
      <c r="H295" s="171">
        <v>19386220</v>
      </c>
      <c r="I295" s="171"/>
      <c r="J295" s="63">
        <f t="shared" si="604"/>
        <v>10261</v>
      </c>
      <c r="K295" s="63">
        <f t="shared" ref="K295" si="608">+L295+M295</f>
        <v>10261</v>
      </c>
      <c r="L295" s="171">
        <v>0</v>
      </c>
      <c r="M295" s="171">
        <v>10261</v>
      </c>
      <c r="N295" s="63">
        <f t="shared" ref="N295" si="609">+O295+P295</f>
        <v>0</v>
      </c>
      <c r="O295" s="171">
        <v>0</v>
      </c>
      <c r="P295" s="171"/>
    </row>
    <row r="296" spans="1:16" ht="29.25" customHeight="1" x14ac:dyDescent="0.25">
      <c r="A296" s="120"/>
      <c r="B296" s="115" t="s">
        <v>391</v>
      </c>
      <c r="C296" s="55">
        <f t="shared" si="601"/>
        <v>-32058</v>
      </c>
      <c r="D296" s="58"/>
      <c r="E296" s="58"/>
      <c r="F296" s="58"/>
      <c r="G296" s="58">
        <v>-32058</v>
      </c>
      <c r="H296" s="58" t="s">
        <v>614</v>
      </c>
      <c r="I296" s="58" t="s">
        <v>614</v>
      </c>
      <c r="J296" s="55">
        <f>K296+N296</f>
        <v>0</v>
      </c>
      <c r="K296" s="58"/>
      <c r="L296" s="58" t="s">
        <v>614</v>
      </c>
      <c r="M296" s="58" t="s">
        <v>614</v>
      </c>
      <c r="N296" s="58">
        <v>0</v>
      </c>
      <c r="O296" s="58" t="s">
        <v>614</v>
      </c>
      <c r="P296" s="58" t="s">
        <v>614</v>
      </c>
    </row>
    <row r="297" spans="1:16" ht="31.5" x14ac:dyDescent="0.25">
      <c r="A297" s="46"/>
      <c r="B297" s="46" t="s">
        <v>320</v>
      </c>
      <c r="C297" s="52">
        <f>+C296+C294+C288+C280+C255+C250+C243+C224+C217+C207+C193+C152+C110+C89+C189+C184</f>
        <v>-1844899</v>
      </c>
      <c r="D297" s="52">
        <f t="shared" ref="D297:J297" si="610">+D296+D294+D288+D280+D255+D250+D243+D224+D217+D207+D193+D152+D110+D89+D189+D184</f>
        <v>0</v>
      </c>
      <c r="E297" s="98" t="s">
        <v>614</v>
      </c>
      <c r="F297" s="98" t="s">
        <v>614</v>
      </c>
      <c r="G297" s="52">
        <f t="shared" ref="G297" si="611">+G296+G294+G288+G280+G255+G250+G243+G224+G217+G207+G193+G152+G110+G89+G189+G184</f>
        <v>-1844899</v>
      </c>
      <c r="H297" s="98" t="s">
        <v>614</v>
      </c>
      <c r="I297" s="98" t="s">
        <v>614</v>
      </c>
      <c r="J297" s="52">
        <f t="shared" si="610"/>
        <v>-449333</v>
      </c>
      <c r="K297" s="52">
        <f t="shared" ref="K297" si="612">+K296+K294+K288+K280+K255+K250+K243+K224+K217+K207+K193+K152+K110+K89+K189+K184</f>
        <v>0</v>
      </c>
      <c r="L297" s="98" t="s">
        <v>614</v>
      </c>
      <c r="M297" s="98" t="s">
        <v>614</v>
      </c>
      <c r="N297" s="52">
        <f t="shared" ref="N297" si="613">+N296+N294+N288+N280+N255+N250+N243+N224+N217+N207+N193+N152+N110+N89+N189+N184</f>
        <v>-449333</v>
      </c>
      <c r="O297" s="98" t="s">
        <v>614</v>
      </c>
      <c r="P297" s="98" t="s">
        <v>614</v>
      </c>
    </row>
    <row r="298" spans="1:16" ht="31.5" x14ac:dyDescent="0.25">
      <c r="A298" s="118" t="s">
        <v>231</v>
      </c>
      <c r="B298" s="118" t="s">
        <v>5</v>
      </c>
      <c r="C298" s="67">
        <f t="shared" ref="C298:N299" si="614">C299</f>
        <v>428759789</v>
      </c>
      <c r="D298" s="67">
        <f t="shared" si="614"/>
        <v>428759789</v>
      </c>
      <c r="E298" s="58" t="s">
        <v>614</v>
      </c>
      <c r="F298" s="58" t="s">
        <v>614</v>
      </c>
      <c r="G298" s="67">
        <f t="shared" si="614"/>
        <v>0</v>
      </c>
      <c r="H298" s="99" t="s">
        <v>614</v>
      </c>
      <c r="I298" s="99" t="s">
        <v>614</v>
      </c>
      <c r="J298" s="67">
        <f t="shared" si="614"/>
        <v>35482581</v>
      </c>
      <c r="K298" s="67">
        <f t="shared" si="614"/>
        <v>35482581</v>
      </c>
      <c r="L298" s="99" t="s">
        <v>614</v>
      </c>
      <c r="M298" s="99" t="s">
        <v>614</v>
      </c>
      <c r="N298" s="67">
        <f t="shared" si="614"/>
        <v>0</v>
      </c>
      <c r="O298" s="99" t="s">
        <v>614</v>
      </c>
      <c r="P298" s="99" t="s">
        <v>614</v>
      </c>
    </row>
    <row r="299" spans="1:16" s="153" customFormat="1" ht="28.5" customHeight="1" x14ac:dyDescent="0.25">
      <c r="A299" s="118" t="s">
        <v>321</v>
      </c>
      <c r="B299" s="118" t="s">
        <v>126</v>
      </c>
      <c r="C299" s="67">
        <f t="shared" si="614"/>
        <v>428759789</v>
      </c>
      <c r="D299" s="67">
        <f t="shared" si="614"/>
        <v>428759789</v>
      </c>
      <c r="E299" s="58" t="s">
        <v>614</v>
      </c>
      <c r="F299" s="58" t="s">
        <v>614</v>
      </c>
      <c r="G299" s="67">
        <f t="shared" si="614"/>
        <v>0</v>
      </c>
      <c r="H299" s="99" t="s">
        <v>614</v>
      </c>
      <c r="I299" s="99" t="s">
        <v>614</v>
      </c>
      <c r="J299" s="67">
        <f t="shared" si="614"/>
        <v>35482581</v>
      </c>
      <c r="K299" s="67">
        <f t="shared" si="614"/>
        <v>35482581</v>
      </c>
      <c r="L299" s="99" t="s">
        <v>614</v>
      </c>
      <c r="M299" s="99" t="s">
        <v>614</v>
      </c>
      <c r="N299" s="67">
        <f t="shared" si="614"/>
        <v>0</v>
      </c>
      <c r="O299" s="99" t="s">
        <v>614</v>
      </c>
      <c r="P299" s="99" t="s">
        <v>614</v>
      </c>
    </row>
    <row r="300" spans="1:16" s="153" customFormat="1" ht="47.25" x14ac:dyDescent="0.25">
      <c r="A300" s="118" t="s">
        <v>322</v>
      </c>
      <c r="B300" s="118" t="s">
        <v>127</v>
      </c>
      <c r="C300" s="67">
        <f t="shared" ref="C300" si="615">C301+C302+C303+C304+C308+C309+C316+C317</f>
        <v>428759789</v>
      </c>
      <c r="D300" s="67">
        <f t="shared" ref="D300:J300" si="616">D301+D302+D303+D304+D308+D309+D316+D317</f>
        <v>428759789</v>
      </c>
      <c r="E300" s="58" t="s">
        <v>614</v>
      </c>
      <c r="F300" s="58" t="s">
        <v>614</v>
      </c>
      <c r="G300" s="67">
        <f t="shared" ref="G300" si="617">G301+G302+G303+G304+G308+G309+G316+G317</f>
        <v>0</v>
      </c>
      <c r="H300" s="99" t="s">
        <v>614</v>
      </c>
      <c r="I300" s="99" t="s">
        <v>614</v>
      </c>
      <c r="J300" s="67">
        <f t="shared" si="616"/>
        <v>35482581</v>
      </c>
      <c r="K300" s="67">
        <f t="shared" ref="K300" si="618">K301+K302+K303+K304+K308+K309+K316+K317</f>
        <v>35482581</v>
      </c>
      <c r="L300" s="99" t="s">
        <v>614</v>
      </c>
      <c r="M300" s="99" t="s">
        <v>614</v>
      </c>
      <c r="N300" s="67">
        <f t="shared" ref="N300" si="619">N301+N302+N303+N304+N308+N309+N316+N317</f>
        <v>0</v>
      </c>
      <c r="O300" s="99" t="s">
        <v>614</v>
      </c>
      <c r="P300" s="99" t="s">
        <v>614</v>
      </c>
    </row>
    <row r="301" spans="1:16" s="153" customFormat="1" ht="47.25" x14ac:dyDescent="0.25">
      <c r="A301" s="116"/>
      <c r="B301" s="116" t="s">
        <v>128</v>
      </c>
      <c r="C301" s="55">
        <f t="shared" ref="C301:C303" si="620">+D301+G301</f>
        <v>266764806</v>
      </c>
      <c r="D301" s="58">
        <v>266764806</v>
      </c>
      <c r="E301" s="58" t="s">
        <v>614</v>
      </c>
      <c r="F301" s="58" t="s">
        <v>614</v>
      </c>
      <c r="G301" s="58"/>
      <c r="H301" s="58" t="s">
        <v>614</v>
      </c>
      <c r="I301" s="58" t="s">
        <v>614</v>
      </c>
      <c r="J301" s="55">
        <f t="shared" ref="J301:J303" si="621">+K301+N301</f>
        <v>22201740</v>
      </c>
      <c r="K301" s="58">
        <v>22201740</v>
      </c>
      <c r="L301" s="58" t="s">
        <v>614</v>
      </c>
      <c r="M301" s="58" t="s">
        <v>614</v>
      </c>
      <c r="N301" s="58"/>
      <c r="O301" s="58" t="s">
        <v>614</v>
      </c>
      <c r="P301" s="58" t="s">
        <v>614</v>
      </c>
    </row>
    <row r="302" spans="1:16" s="153" customFormat="1" ht="47.25" x14ac:dyDescent="0.25">
      <c r="A302" s="116"/>
      <c r="B302" s="116" t="s">
        <v>129</v>
      </c>
      <c r="C302" s="55">
        <f t="shared" si="620"/>
        <v>2078868</v>
      </c>
      <c r="D302" s="58">
        <v>2078868</v>
      </c>
      <c r="E302" s="58" t="s">
        <v>614</v>
      </c>
      <c r="F302" s="58" t="s">
        <v>614</v>
      </c>
      <c r="G302" s="58"/>
      <c r="H302" s="58" t="s">
        <v>614</v>
      </c>
      <c r="I302" s="58" t="s">
        <v>614</v>
      </c>
      <c r="J302" s="55">
        <f t="shared" si="621"/>
        <v>174745</v>
      </c>
      <c r="K302" s="58">
        <v>174745</v>
      </c>
      <c r="L302" s="58" t="s">
        <v>614</v>
      </c>
      <c r="M302" s="58" t="s">
        <v>614</v>
      </c>
      <c r="N302" s="58"/>
      <c r="O302" s="58" t="s">
        <v>614</v>
      </c>
      <c r="P302" s="58" t="s">
        <v>614</v>
      </c>
    </row>
    <row r="303" spans="1:16" s="153" customFormat="1" ht="47.25" x14ac:dyDescent="0.25">
      <c r="A303" s="116"/>
      <c r="B303" s="116" t="s">
        <v>130</v>
      </c>
      <c r="C303" s="55">
        <f t="shared" si="620"/>
        <v>947982</v>
      </c>
      <c r="D303" s="58">
        <v>947982</v>
      </c>
      <c r="E303" s="58" t="s">
        <v>614</v>
      </c>
      <c r="F303" s="58" t="s">
        <v>614</v>
      </c>
      <c r="G303" s="58"/>
      <c r="H303" s="58" t="s">
        <v>614</v>
      </c>
      <c r="I303" s="58" t="s">
        <v>614</v>
      </c>
      <c r="J303" s="55">
        <f t="shared" si="621"/>
        <v>77506</v>
      </c>
      <c r="K303" s="58">
        <v>77506</v>
      </c>
      <c r="L303" s="58" t="s">
        <v>614</v>
      </c>
      <c r="M303" s="58" t="s">
        <v>614</v>
      </c>
      <c r="N303" s="58"/>
      <c r="O303" s="58" t="s">
        <v>614</v>
      </c>
      <c r="P303" s="58" t="s">
        <v>614</v>
      </c>
    </row>
    <row r="304" spans="1:16" s="87" customFormat="1" ht="47.25" x14ac:dyDescent="0.25">
      <c r="A304" s="118"/>
      <c r="B304" s="118" t="s">
        <v>131</v>
      </c>
      <c r="C304" s="67">
        <f t="shared" ref="C304" si="622">C305+C306+C307</f>
        <v>37973298</v>
      </c>
      <c r="D304" s="67">
        <f t="shared" ref="D304:J304" si="623">D305+D306+D307</f>
        <v>37973298</v>
      </c>
      <c r="E304" s="58" t="s">
        <v>614</v>
      </c>
      <c r="F304" s="58" t="s">
        <v>614</v>
      </c>
      <c r="G304" s="67">
        <f t="shared" ref="G304" si="624">G305+G306+G307</f>
        <v>0</v>
      </c>
      <c r="H304" s="99" t="s">
        <v>614</v>
      </c>
      <c r="I304" s="99" t="s">
        <v>614</v>
      </c>
      <c r="J304" s="67">
        <f t="shared" si="623"/>
        <v>3216243</v>
      </c>
      <c r="K304" s="67">
        <f t="shared" ref="K304" si="625">K305+K306+K307</f>
        <v>3216243</v>
      </c>
      <c r="L304" s="99" t="s">
        <v>614</v>
      </c>
      <c r="M304" s="99" t="s">
        <v>614</v>
      </c>
      <c r="N304" s="67">
        <f t="shared" ref="N304" si="626">N305+N306+N307</f>
        <v>0</v>
      </c>
      <c r="O304" s="99" t="s">
        <v>614</v>
      </c>
      <c r="P304" s="99" t="s">
        <v>614</v>
      </c>
    </row>
    <row r="305" spans="1:16" ht="110.25" x14ac:dyDescent="0.25">
      <c r="A305" s="116"/>
      <c r="B305" s="116" t="s">
        <v>132</v>
      </c>
      <c r="C305" s="55">
        <f t="shared" ref="C305:C308" si="627">+D305+G305</f>
        <v>12534525</v>
      </c>
      <c r="D305" s="58">
        <v>12534525</v>
      </c>
      <c r="E305" s="58" t="s">
        <v>614</v>
      </c>
      <c r="F305" s="58" t="s">
        <v>614</v>
      </c>
      <c r="G305" s="58"/>
      <c r="H305" s="58" t="s">
        <v>614</v>
      </c>
      <c r="I305" s="58" t="s">
        <v>614</v>
      </c>
      <c r="J305" s="55">
        <f t="shared" ref="J305:J308" si="628">+K305+N305</f>
        <v>1028484</v>
      </c>
      <c r="K305" s="58">
        <v>1028484</v>
      </c>
      <c r="L305" s="58" t="s">
        <v>614</v>
      </c>
      <c r="M305" s="58" t="s">
        <v>614</v>
      </c>
      <c r="N305" s="58"/>
      <c r="O305" s="58" t="s">
        <v>614</v>
      </c>
      <c r="P305" s="58" t="s">
        <v>614</v>
      </c>
    </row>
    <row r="306" spans="1:16" ht="94.5" x14ac:dyDescent="0.25">
      <c r="A306" s="116"/>
      <c r="B306" s="116" t="s">
        <v>133</v>
      </c>
      <c r="C306" s="55">
        <f t="shared" si="627"/>
        <v>11959194</v>
      </c>
      <c r="D306" s="58">
        <v>11959194</v>
      </c>
      <c r="E306" s="58" t="s">
        <v>614</v>
      </c>
      <c r="F306" s="58" t="s">
        <v>614</v>
      </c>
      <c r="G306" s="58"/>
      <c r="H306" s="58" t="s">
        <v>614</v>
      </c>
      <c r="I306" s="58" t="s">
        <v>614</v>
      </c>
      <c r="J306" s="55">
        <f t="shared" si="628"/>
        <v>983881</v>
      </c>
      <c r="K306" s="58">
        <v>983881</v>
      </c>
      <c r="L306" s="58" t="s">
        <v>614</v>
      </c>
      <c r="M306" s="58" t="s">
        <v>614</v>
      </c>
      <c r="N306" s="58"/>
      <c r="O306" s="58" t="s">
        <v>614</v>
      </c>
      <c r="P306" s="58" t="s">
        <v>614</v>
      </c>
    </row>
    <row r="307" spans="1:16" ht="94.5" x14ac:dyDescent="0.25">
      <c r="A307" s="127"/>
      <c r="B307" s="127" t="s">
        <v>134</v>
      </c>
      <c r="C307" s="55">
        <f t="shared" si="627"/>
        <v>13479579</v>
      </c>
      <c r="D307" s="58">
        <v>13479579</v>
      </c>
      <c r="E307" s="58" t="s">
        <v>614</v>
      </c>
      <c r="F307" s="58" t="s">
        <v>614</v>
      </c>
      <c r="G307" s="58"/>
      <c r="H307" s="58" t="s">
        <v>614</v>
      </c>
      <c r="I307" s="58" t="s">
        <v>614</v>
      </c>
      <c r="J307" s="55">
        <f t="shared" si="628"/>
        <v>1203878</v>
      </c>
      <c r="K307" s="58">
        <v>1203878</v>
      </c>
      <c r="L307" s="58" t="s">
        <v>614</v>
      </c>
      <c r="M307" s="58" t="s">
        <v>614</v>
      </c>
      <c r="N307" s="58"/>
      <c r="O307" s="58" t="s">
        <v>614</v>
      </c>
      <c r="P307" s="58" t="s">
        <v>614</v>
      </c>
    </row>
    <row r="308" spans="1:16" ht="157.5" x14ac:dyDescent="0.25">
      <c r="A308" s="127"/>
      <c r="B308" s="127" t="s">
        <v>135</v>
      </c>
      <c r="C308" s="55">
        <f t="shared" si="627"/>
        <v>7600445</v>
      </c>
      <c r="D308" s="58">
        <v>7600445</v>
      </c>
      <c r="E308" s="58" t="s">
        <v>614</v>
      </c>
      <c r="F308" s="58" t="s">
        <v>614</v>
      </c>
      <c r="G308" s="58"/>
      <c r="H308" s="58" t="s">
        <v>614</v>
      </c>
      <c r="I308" s="58" t="s">
        <v>614</v>
      </c>
      <c r="J308" s="55">
        <f t="shared" si="628"/>
        <v>622205</v>
      </c>
      <c r="K308" s="58">
        <v>622205</v>
      </c>
      <c r="L308" s="58" t="s">
        <v>614</v>
      </c>
      <c r="M308" s="58" t="s">
        <v>614</v>
      </c>
      <c r="N308" s="58"/>
      <c r="O308" s="58" t="s">
        <v>614</v>
      </c>
      <c r="P308" s="58" t="s">
        <v>614</v>
      </c>
    </row>
    <row r="309" spans="1:16" s="153" customFormat="1" ht="63" x14ac:dyDescent="0.25">
      <c r="A309" s="46"/>
      <c r="B309" s="46" t="s">
        <v>136</v>
      </c>
      <c r="C309" s="67">
        <f t="shared" ref="C309" si="629">C310+C311+C312+C313+C314+C315</f>
        <v>22695010</v>
      </c>
      <c r="D309" s="67">
        <f t="shared" ref="D309:J309" si="630">D310+D311+D312+D313+D314+D315</f>
        <v>22695010</v>
      </c>
      <c r="E309" s="58" t="s">
        <v>614</v>
      </c>
      <c r="F309" s="58" t="s">
        <v>614</v>
      </c>
      <c r="G309" s="67">
        <f t="shared" ref="G309" si="631">G310+G311+G312+G313+G314+G315</f>
        <v>0</v>
      </c>
      <c r="H309" s="99" t="s">
        <v>614</v>
      </c>
      <c r="I309" s="99" t="s">
        <v>614</v>
      </c>
      <c r="J309" s="67">
        <f t="shared" si="630"/>
        <v>1918876</v>
      </c>
      <c r="K309" s="67">
        <f t="shared" ref="K309" si="632">K310+K311+K312+K313+K314+K315</f>
        <v>1918876</v>
      </c>
      <c r="L309" s="99" t="s">
        <v>614</v>
      </c>
      <c r="M309" s="99" t="s">
        <v>614</v>
      </c>
      <c r="N309" s="67">
        <f t="shared" ref="N309" si="633">N310+N311+N312+N313+N314+N315</f>
        <v>0</v>
      </c>
      <c r="O309" s="99" t="s">
        <v>614</v>
      </c>
      <c r="P309" s="99" t="s">
        <v>614</v>
      </c>
    </row>
    <row r="310" spans="1:16" ht="63" x14ac:dyDescent="0.25">
      <c r="A310" s="45"/>
      <c r="B310" s="45" t="s">
        <v>137</v>
      </c>
      <c r="C310" s="55">
        <f t="shared" ref="C310:C317" si="634">+D310+G310</f>
        <v>2981781</v>
      </c>
      <c r="D310" s="58">
        <v>2981781</v>
      </c>
      <c r="E310" s="58" t="s">
        <v>614</v>
      </c>
      <c r="F310" s="58" t="s">
        <v>614</v>
      </c>
      <c r="G310" s="58"/>
      <c r="H310" s="58" t="s">
        <v>614</v>
      </c>
      <c r="I310" s="58" t="s">
        <v>614</v>
      </c>
      <c r="J310" s="55">
        <f t="shared" ref="J310:J317" si="635">+K310+N310</f>
        <v>253282</v>
      </c>
      <c r="K310" s="58">
        <v>253282</v>
      </c>
      <c r="L310" s="58" t="s">
        <v>614</v>
      </c>
      <c r="M310" s="58" t="s">
        <v>614</v>
      </c>
      <c r="N310" s="58"/>
      <c r="O310" s="58" t="s">
        <v>614</v>
      </c>
      <c r="P310" s="58" t="s">
        <v>614</v>
      </c>
    </row>
    <row r="311" spans="1:16" ht="47.25" x14ac:dyDescent="0.25">
      <c r="A311" s="45"/>
      <c r="B311" s="45" t="s">
        <v>138</v>
      </c>
      <c r="C311" s="55">
        <f t="shared" si="634"/>
        <v>20944</v>
      </c>
      <c r="D311" s="58">
        <v>20944</v>
      </c>
      <c r="E311" s="58" t="s">
        <v>614</v>
      </c>
      <c r="F311" s="58" t="s">
        <v>614</v>
      </c>
      <c r="G311" s="58"/>
      <c r="H311" s="58" t="s">
        <v>614</v>
      </c>
      <c r="I311" s="58" t="s">
        <v>614</v>
      </c>
      <c r="J311" s="55">
        <f t="shared" si="635"/>
        <v>2045</v>
      </c>
      <c r="K311" s="58">
        <v>2045</v>
      </c>
      <c r="L311" s="58" t="s">
        <v>614</v>
      </c>
      <c r="M311" s="58" t="s">
        <v>614</v>
      </c>
      <c r="N311" s="58"/>
      <c r="O311" s="58" t="s">
        <v>614</v>
      </c>
      <c r="P311" s="58" t="s">
        <v>614</v>
      </c>
    </row>
    <row r="312" spans="1:16" ht="63" x14ac:dyDescent="0.25">
      <c r="A312" s="45"/>
      <c r="B312" s="45" t="s">
        <v>139</v>
      </c>
      <c r="C312" s="55">
        <f t="shared" si="634"/>
        <v>62378</v>
      </c>
      <c r="D312" s="58">
        <v>62378</v>
      </c>
      <c r="E312" s="58" t="s">
        <v>614</v>
      </c>
      <c r="F312" s="58" t="s">
        <v>614</v>
      </c>
      <c r="G312" s="58"/>
      <c r="H312" s="58" t="s">
        <v>614</v>
      </c>
      <c r="I312" s="58" t="s">
        <v>614</v>
      </c>
      <c r="J312" s="55">
        <f t="shared" si="635"/>
        <v>5624</v>
      </c>
      <c r="K312" s="58">
        <v>5624</v>
      </c>
      <c r="L312" s="58" t="s">
        <v>614</v>
      </c>
      <c r="M312" s="58" t="s">
        <v>614</v>
      </c>
      <c r="N312" s="58"/>
      <c r="O312" s="58" t="s">
        <v>614</v>
      </c>
      <c r="P312" s="58" t="s">
        <v>614</v>
      </c>
    </row>
    <row r="313" spans="1:16" ht="157.5" x14ac:dyDescent="0.25">
      <c r="A313" s="45"/>
      <c r="B313" s="45" t="s">
        <v>140</v>
      </c>
      <c r="C313" s="55">
        <f t="shared" si="634"/>
        <v>11366835</v>
      </c>
      <c r="D313" s="58">
        <v>11366835</v>
      </c>
      <c r="E313" s="58" t="s">
        <v>614</v>
      </c>
      <c r="F313" s="58" t="s">
        <v>614</v>
      </c>
      <c r="G313" s="58"/>
      <c r="H313" s="58" t="s">
        <v>614</v>
      </c>
      <c r="I313" s="58" t="s">
        <v>614</v>
      </c>
      <c r="J313" s="55">
        <f t="shared" si="635"/>
        <v>950518</v>
      </c>
      <c r="K313" s="58">
        <v>950518</v>
      </c>
      <c r="L313" s="58" t="s">
        <v>614</v>
      </c>
      <c r="M313" s="58" t="s">
        <v>614</v>
      </c>
      <c r="N313" s="58"/>
      <c r="O313" s="58" t="s">
        <v>614</v>
      </c>
      <c r="P313" s="58" t="s">
        <v>614</v>
      </c>
    </row>
    <row r="314" spans="1:16" ht="94.5" x14ac:dyDescent="0.25">
      <c r="A314" s="45"/>
      <c r="B314" s="45" t="s">
        <v>141</v>
      </c>
      <c r="C314" s="55">
        <f t="shared" si="634"/>
        <v>8253406</v>
      </c>
      <c r="D314" s="58">
        <v>8253406</v>
      </c>
      <c r="E314" s="58" t="s">
        <v>614</v>
      </c>
      <c r="F314" s="58" t="s">
        <v>614</v>
      </c>
      <c r="G314" s="58"/>
      <c r="H314" s="58" t="s">
        <v>614</v>
      </c>
      <c r="I314" s="58" t="s">
        <v>614</v>
      </c>
      <c r="J314" s="55">
        <f t="shared" si="635"/>
        <v>705975</v>
      </c>
      <c r="K314" s="58">
        <v>705975</v>
      </c>
      <c r="L314" s="58" t="s">
        <v>614</v>
      </c>
      <c r="M314" s="58" t="s">
        <v>614</v>
      </c>
      <c r="N314" s="58"/>
      <c r="O314" s="58" t="s">
        <v>614</v>
      </c>
      <c r="P314" s="58" t="s">
        <v>614</v>
      </c>
    </row>
    <row r="315" spans="1:16" ht="78.75" x14ac:dyDescent="0.25">
      <c r="A315" s="45"/>
      <c r="B315" s="45" t="s">
        <v>215</v>
      </c>
      <c r="C315" s="55">
        <f t="shared" si="634"/>
        <v>9666</v>
      </c>
      <c r="D315" s="58">
        <v>9666</v>
      </c>
      <c r="E315" s="58" t="s">
        <v>614</v>
      </c>
      <c r="F315" s="58" t="s">
        <v>614</v>
      </c>
      <c r="G315" s="58"/>
      <c r="H315" s="58" t="s">
        <v>614</v>
      </c>
      <c r="I315" s="58" t="s">
        <v>614</v>
      </c>
      <c r="J315" s="55">
        <f t="shared" si="635"/>
        <v>1432</v>
      </c>
      <c r="K315" s="58">
        <v>1432</v>
      </c>
      <c r="L315" s="58" t="s">
        <v>614</v>
      </c>
      <c r="M315" s="58" t="s">
        <v>614</v>
      </c>
      <c r="N315" s="58"/>
      <c r="O315" s="58" t="s">
        <v>614</v>
      </c>
      <c r="P315" s="58" t="s">
        <v>614</v>
      </c>
    </row>
    <row r="316" spans="1:16" ht="63" x14ac:dyDescent="0.25">
      <c r="A316" s="45"/>
      <c r="B316" s="45" t="s">
        <v>216</v>
      </c>
      <c r="C316" s="55">
        <f t="shared" si="634"/>
        <v>15459843</v>
      </c>
      <c r="D316" s="58">
        <v>15459843</v>
      </c>
      <c r="E316" s="58" t="s">
        <v>614</v>
      </c>
      <c r="F316" s="58" t="s">
        <v>614</v>
      </c>
      <c r="G316" s="58"/>
      <c r="H316" s="58" t="s">
        <v>614</v>
      </c>
      <c r="I316" s="58" t="s">
        <v>614</v>
      </c>
      <c r="J316" s="55">
        <f t="shared" si="635"/>
        <v>1291875</v>
      </c>
      <c r="K316" s="58">
        <v>1291875</v>
      </c>
      <c r="L316" s="58" t="s">
        <v>614</v>
      </c>
      <c r="M316" s="58" t="s">
        <v>614</v>
      </c>
      <c r="N316" s="58"/>
      <c r="O316" s="58" t="s">
        <v>614</v>
      </c>
      <c r="P316" s="58" t="s">
        <v>614</v>
      </c>
    </row>
    <row r="317" spans="1:16" ht="47.25" x14ac:dyDescent="0.25">
      <c r="A317" s="45"/>
      <c r="B317" s="45" t="s">
        <v>217</v>
      </c>
      <c r="C317" s="55">
        <f t="shared" si="634"/>
        <v>75239537</v>
      </c>
      <c r="D317" s="58">
        <v>75239537</v>
      </c>
      <c r="E317" s="58" t="s">
        <v>614</v>
      </c>
      <c r="F317" s="58" t="s">
        <v>614</v>
      </c>
      <c r="G317" s="58"/>
      <c r="H317" s="58" t="s">
        <v>614</v>
      </c>
      <c r="I317" s="58" t="s">
        <v>614</v>
      </c>
      <c r="J317" s="55">
        <f t="shared" si="635"/>
        <v>5979391</v>
      </c>
      <c r="K317" s="58">
        <v>5979391</v>
      </c>
      <c r="L317" s="58" t="s">
        <v>614</v>
      </c>
      <c r="M317" s="58" t="s">
        <v>614</v>
      </c>
      <c r="N317" s="58"/>
      <c r="O317" s="58" t="s">
        <v>614</v>
      </c>
      <c r="P317" s="58" t="s">
        <v>614</v>
      </c>
    </row>
    <row r="318" spans="1:16" x14ac:dyDescent="0.25">
      <c r="A318" s="46" t="s">
        <v>323</v>
      </c>
      <c r="B318" s="46" t="s">
        <v>142</v>
      </c>
      <c r="C318" s="63">
        <f t="shared" ref="C318:P322" si="636">C319</f>
        <v>128605191</v>
      </c>
      <c r="D318" s="63">
        <f t="shared" si="636"/>
        <v>40893803</v>
      </c>
      <c r="E318" s="55" t="str">
        <f t="shared" si="636"/>
        <v>x</v>
      </c>
      <c r="F318" s="55" t="str">
        <f t="shared" si="636"/>
        <v>x</v>
      </c>
      <c r="G318" s="63">
        <f t="shared" si="636"/>
        <v>87711388</v>
      </c>
      <c r="H318" s="55" t="str">
        <f t="shared" si="636"/>
        <v>x</v>
      </c>
      <c r="I318" s="55" t="str">
        <f t="shared" si="636"/>
        <v>x</v>
      </c>
      <c r="J318" s="63">
        <f t="shared" si="636"/>
        <v>34490242</v>
      </c>
      <c r="K318" s="63">
        <f t="shared" si="636"/>
        <v>34487058</v>
      </c>
      <c r="L318" s="55" t="str">
        <f t="shared" si="636"/>
        <v>x</v>
      </c>
      <c r="M318" s="55" t="str">
        <f t="shared" si="636"/>
        <v>x</v>
      </c>
      <c r="N318" s="63">
        <f t="shared" si="636"/>
        <v>3184</v>
      </c>
      <c r="O318" s="55" t="str">
        <f t="shared" si="636"/>
        <v>x</v>
      </c>
      <c r="P318" s="55" t="str">
        <f t="shared" si="636"/>
        <v>x</v>
      </c>
    </row>
    <row r="319" spans="1:16" x14ac:dyDescent="0.25">
      <c r="A319" s="46" t="s">
        <v>324</v>
      </c>
      <c r="B319" s="46" t="s">
        <v>2</v>
      </c>
      <c r="C319" s="63">
        <f t="shared" si="636"/>
        <v>128605191</v>
      </c>
      <c r="D319" s="63">
        <f t="shared" si="636"/>
        <v>40893803</v>
      </c>
      <c r="E319" s="55" t="str">
        <f t="shared" si="636"/>
        <v>x</v>
      </c>
      <c r="F319" s="55" t="str">
        <f t="shared" si="636"/>
        <v>x</v>
      </c>
      <c r="G319" s="63">
        <f t="shared" si="636"/>
        <v>87711388</v>
      </c>
      <c r="H319" s="55" t="str">
        <f t="shared" si="636"/>
        <v>x</v>
      </c>
      <c r="I319" s="55" t="str">
        <f t="shared" si="636"/>
        <v>x</v>
      </c>
      <c r="J319" s="63">
        <f t="shared" si="636"/>
        <v>34490242</v>
      </c>
      <c r="K319" s="63">
        <f t="shared" si="636"/>
        <v>34487058</v>
      </c>
      <c r="L319" s="55" t="str">
        <f t="shared" si="636"/>
        <v>x</v>
      </c>
      <c r="M319" s="55" t="str">
        <f t="shared" si="636"/>
        <v>x</v>
      </c>
      <c r="N319" s="63">
        <f t="shared" si="636"/>
        <v>3184</v>
      </c>
      <c r="O319" s="55" t="str">
        <f t="shared" si="636"/>
        <v>x</v>
      </c>
      <c r="P319" s="55" t="str">
        <f t="shared" si="636"/>
        <v>x</v>
      </c>
    </row>
    <row r="320" spans="1:16" ht="29.25" customHeight="1" x14ac:dyDescent="0.25">
      <c r="A320" s="46" t="s">
        <v>325</v>
      </c>
      <c r="B320" s="46" t="s">
        <v>396</v>
      </c>
      <c r="C320" s="52">
        <f t="shared" si="636"/>
        <v>128605191</v>
      </c>
      <c r="D320" s="52">
        <f t="shared" si="636"/>
        <v>40893803</v>
      </c>
      <c r="E320" s="55" t="str">
        <f t="shared" si="636"/>
        <v>x</v>
      </c>
      <c r="F320" s="55" t="str">
        <f t="shared" si="636"/>
        <v>x</v>
      </c>
      <c r="G320" s="52">
        <f t="shared" si="636"/>
        <v>87711388</v>
      </c>
      <c r="H320" s="59" t="str">
        <f t="shared" si="636"/>
        <v>x</v>
      </c>
      <c r="I320" s="59" t="str">
        <f t="shared" si="636"/>
        <v>x</v>
      </c>
      <c r="J320" s="52">
        <f t="shared" si="636"/>
        <v>34490242</v>
      </c>
      <c r="K320" s="52">
        <f t="shared" si="636"/>
        <v>34487058</v>
      </c>
      <c r="L320" s="59" t="str">
        <f t="shared" si="636"/>
        <v>x</v>
      </c>
      <c r="M320" s="59" t="str">
        <f t="shared" si="636"/>
        <v>x</v>
      </c>
      <c r="N320" s="52">
        <f t="shared" si="636"/>
        <v>3184</v>
      </c>
      <c r="O320" s="59" t="str">
        <f t="shared" si="636"/>
        <v>x</v>
      </c>
      <c r="P320" s="59" t="str">
        <f t="shared" si="636"/>
        <v>x</v>
      </c>
    </row>
    <row r="321" spans="1:16" ht="31.5" x14ac:dyDescent="0.25">
      <c r="A321" s="46" t="s">
        <v>326</v>
      </c>
      <c r="B321" s="46" t="s">
        <v>143</v>
      </c>
      <c r="C321" s="63">
        <f t="shared" ref="C321:N321" si="637">C322</f>
        <v>128605191</v>
      </c>
      <c r="D321" s="63">
        <f t="shared" si="637"/>
        <v>40893803</v>
      </c>
      <c r="E321" s="55" t="str">
        <f t="shared" si="636"/>
        <v>x</v>
      </c>
      <c r="F321" s="55" t="str">
        <f t="shared" si="636"/>
        <v>x</v>
      </c>
      <c r="G321" s="63">
        <f t="shared" si="637"/>
        <v>87711388</v>
      </c>
      <c r="H321" s="55" t="str">
        <f t="shared" si="636"/>
        <v>x</v>
      </c>
      <c r="I321" s="55" t="str">
        <f t="shared" si="636"/>
        <v>x</v>
      </c>
      <c r="J321" s="63">
        <f t="shared" si="637"/>
        <v>34490242</v>
      </c>
      <c r="K321" s="63">
        <f t="shared" si="637"/>
        <v>34487058</v>
      </c>
      <c r="L321" s="55" t="str">
        <f t="shared" si="636"/>
        <v>x</v>
      </c>
      <c r="M321" s="55" t="str">
        <f t="shared" si="636"/>
        <v>x</v>
      </c>
      <c r="N321" s="63">
        <f t="shared" si="637"/>
        <v>3184</v>
      </c>
      <c r="O321" s="55" t="str">
        <f t="shared" si="636"/>
        <v>x</v>
      </c>
      <c r="P321" s="55" t="str">
        <f t="shared" si="636"/>
        <v>x</v>
      </c>
    </row>
    <row r="322" spans="1:16" ht="31.5" x14ac:dyDescent="0.25">
      <c r="A322" s="46" t="s">
        <v>327</v>
      </c>
      <c r="B322" s="46" t="s">
        <v>144</v>
      </c>
      <c r="C322" s="63">
        <f t="shared" ref="C322" si="638">C324+C326+C328</f>
        <v>128605191</v>
      </c>
      <c r="D322" s="63">
        <f t="shared" ref="D322:J322" si="639">D324+D326+D328</f>
        <v>40893803</v>
      </c>
      <c r="E322" s="55" t="str">
        <f t="shared" si="636"/>
        <v>x</v>
      </c>
      <c r="F322" s="55" t="str">
        <f t="shared" si="636"/>
        <v>x</v>
      </c>
      <c r="G322" s="63">
        <f t="shared" ref="G322" si="640">G324+G326+G328</f>
        <v>87711388</v>
      </c>
      <c r="H322" s="55" t="str">
        <f t="shared" si="636"/>
        <v>x</v>
      </c>
      <c r="I322" s="55" t="str">
        <f t="shared" si="636"/>
        <v>x</v>
      </c>
      <c r="J322" s="63">
        <f t="shared" si="639"/>
        <v>34490242</v>
      </c>
      <c r="K322" s="63">
        <f t="shared" ref="K322" si="641">K324+K326+K328</f>
        <v>34487058</v>
      </c>
      <c r="L322" s="55" t="str">
        <f t="shared" si="636"/>
        <v>x</v>
      </c>
      <c r="M322" s="55" t="str">
        <f t="shared" si="636"/>
        <v>x</v>
      </c>
      <c r="N322" s="63">
        <f t="shared" ref="N322" si="642">N324+N326+N328</f>
        <v>3184</v>
      </c>
      <c r="O322" s="55" t="str">
        <f t="shared" si="636"/>
        <v>x</v>
      </c>
      <c r="P322" s="55" t="str">
        <f t="shared" si="636"/>
        <v>x</v>
      </c>
    </row>
    <row r="323" spans="1:16" x14ac:dyDescent="0.25">
      <c r="A323" s="46" t="s">
        <v>328</v>
      </c>
      <c r="B323" s="46" t="s">
        <v>145</v>
      </c>
      <c r="C323" s="63">
        <f t="shared" ref="C323:P323" si="643">C324</f>
        <v>82702591</v>
      </c>
      <c r="D323" s="63">
        <f t="shared" si="643"/>
        <v>26299991</v>
      </c>
      <c r="E323" s="55" t="str">
        <f t="shared" si="643"/>
        <v>x</v>
      </c>
      <c r="F323" s="55" t="str">
        <f t="shared" si="643"/>
        <v>x</v>
      </c>
      <c r="G323" s="63">
        <f t="shared" si="643"/>
        <v>56402600</v>
      </c>
      <c r="H323" s="55" t="str">
        <f t="shared" si="643"/>
        <v>x</v>
      </c>
      <c r="I323" s="55" t="str">
        <f t="shared" si="643"/>
        <v>x</v>
      </c>
      <c r="J323" s="63">
        <f t="shared" si="643"/>
        <v>22204622</v>
      </c>
      <c r="K323" s="63">
        <f t="shared" si="643"/>
        <v>22201438</v>
      </c>
      <c r="L323" s="55" t="str">
        <f t="shared" si="643"/>
        <v>x</v>
      </c>
      <c r="M323" s="55" t="str">
        <f t="shared" si="643"/>
        <v>x</v>
      </c>
      <c r="N323" s="63">
        <f t="shared" si="643"/>
        <v>3184</v>
      </c>
      <c r="O323" s="55" t="str">
        <f t="shared" si="643"/>
        <v>x</v>
      </c>
      <c r="P323" s="55" t="str">
        <f t="shared" si="643"/>
        <v>x</v>
      </c>
    </row>
    <row r="324" spans="1:16" ht="31.5" x14ac:dyDescent="0.25">
      <c r="A324" s="45" t="s">
        <v>329</v>
      </c>
      <c r="B324" s="45" t="s">
        <v>610</v>
      </c>
      <c r="C324" s="55">
        <f t="shared" ref="C324:C328" si="644">+D324+G324</f>
        <v>82702591</v>
      </c>
      <c r="D324" s="58">
        <v>26299991</v>
      </c>
      <c r="E324" s="58" t="s">
        <v>614</v>
      </c>
      <c r="F324" s="58" t="s">
        <v>614</v>
      </c>
      <c r="G324" s="173">
        <f>56398427-4641-2831+2114+9531</f>
        <v>56402600</v>
      </c>
      <c r="H324" s="58" t="s">
        <v>614</v>
      </c>
      <c r="I324" s="58" t="s">
        <v>614</v>
      </c>
      <c r="J324" s="55">
        <f t="shared" ref="J324:J328" si="645">+K324+N324</f>
        <v>22204622</v>
      </c>
      <c r="K324" s="58">
        <v>22201438</v>
      </c>
      <c r="L324" s="58" t="s">
        <v>614</v>
      </c>
      <c r="M324" s="58" t="s">
        <v>614</v>
      </c>
      <c r="N324" s="173">
        <f>2114+1070</f>
        <v>3184</v>
      </c>
      <c r="O324" s="58" t="s">
        <v>614</v>
      </c>
      <c r="P324" s="58" t="s">
        <v>614</v>
      </c>
    </row>
    <row r="325" spans="1:16" x14ac:dyDescent="0.25">
      <c r="A325" s="130"/>
      <c r="B325" s="130" t="s">
        <v>611</v>
      </c>
      <c r="C325" s="55">
        <f t="shared" si="644"/>
        <v>737731</v>
      </c>
      <c r="D325" s="58">
        <v>737731</v>
      </c>
      <c r="E325" s="96" t="s">
        <v>614</v>
      </c>
      <c r="F325" s="96" t="s">
        <v>614</v>
      </c>
      <c r="G325" s="58">
        <v>0</v>
      </c>
      <c r="H325" s="96" t="s">
        <v>614</v>
      </c>
      <c r="I325" s="96" t="s">
        <v>614</v>
      </c>
      <c r="J325" s="55">
        <f t="shared" si="645"/>
        <v>74769</v>
      </c>
      <c r="K325" s="58">
        <v>74769</v>
      </c>
      <c r="L325" s="96" t="s">
        <v>614</v>
      </c>
      <c r="M325" s="96" t="s">
        <v>614</v>
      </c>
      <c r="N325" s="58"/>
      <c r="O325" s="96" t="s">
        <v>614</v>
      </c>
      <c r="P325" s="96" t="s">
        <v>614</v>
      </c>
    </row>
    <row r="326" spans="1:16" x14ac:dyDescent="0.25">
      <c r="A326" s="45" t="s">
        <v>330</v>
      </c>
      <c r="B326" s="45" t="s">
        <v>612</v>
      </c>
      <c r="C326" s="55">
        <f t="shared" si="644"/>
        <v>45902600</v>
      </c>
      <c r="D326" s="58">
        <v>14593812</v>
      </c>
      <c r="E326" s="58" t="s">
        <v>614</v>
      </c>
      <c r="F326" s="58" t="s">
        <v>614</v>
      </c>
      <c r="G326" s="58">
        <f>31301316+4641+2831</f>
        <v>31308788</v>
      </c>
      <c r="H326" s="58" t="s">
        <v>614</v>
      </c>
      <c r="I326" s="58" t="s">
        <v>614</v>
      </c>
      <c r="J326" s="55">
        <f t="shared" si="645"/>
        <v>12285620</v>
      </c>
      <c r="K326" s="58">
        <v>12285620</v>
      </c>
      <c r="L326" s="58" t="s">
        <v>614</v>
      </c>
      <c r="M326" s="58" t="s">
        <v>614</v>
      </c>
      <c r="N326" s="58">
        <v>0</v>
      </c>
      <c r="O326" s="58" t="s">
        <v>614</v>
      </c>
      <c r="P326" s="58" t="s">
        <v>614</v>
      </c>
    </row>
    <row r="327" spans="1:16" x14ac:dyDescent="0.25">
      <c r="A327" s="130"/>
      <c r="B327" s="130" t="s">
        <v>611</v>
      </c>
      <c r="C327" s="55">
        <f t="shared" si="644"/>
        <v>537192</v>
      </c>
      <c r="D327" s="58">
        <v>537192</v>
      </c>
      <c r="E327" s="96" t="s">
        <v>614</v>
      </c>
      <c r="F327" s="96" t="s">
        <v>614</v>
      </c>
      <c r="G327" s="58">
        <v>0</v>
      </c>
      <c r="H327" s="96" t="s">
        <v>614</v>
      </c>
      <c r="I327" s="96" t="s">
        <v>614</v>
      </c>
      <c r="J327" s="55">
        <f t="shared" si="645"/>
        <v>78933</v>
      </c>
      <c r="K327" s="58">
        <v>78933</v>
      </c>
      <c r="L327" s="96" t="s">
        <v>614</v>
      </c>
      <c r="M327" s="96" t="s">
        <v>614</v>
      </c>
      <c r="N327" s="58"/>
      <c r="O327" s="96" t="s">
        <v>614</v>
      </c>
      <c r="P327" s="96" t="s">
        <v>614</v>
      </c>
    </row>
    <row r="328" spans="1:16" ht="31.5" x14ac:dyDescent="0.25">
      <c r="A328" s="45"/>
      <c r="B328" s="127" t="s">
        <v>349</v>
      </c>
      <c r="C328" s="55">
        <f t="shared" si="644"/>
        <v>0</v>
      </c>
      <c r="D328" s="58"/>
      <c r="E328" s="58" t="s">
        <v>614</v>
      </c>
      <c r="F328" s="58" t="s">
        <v>614</v>
      </c>
      <c r="G328" s="58"/>
      <c r="H328" s="58" t="s">
        <v>614</v>
      </c>
      <c r="I328" s="58" t="s">
        <v>614</v>
      </c>
      <c r="J328" s="55">
        <f t="shared" si="645"/>
        <v>0</v>
      </c>
      <c r="K328" s="58"/>
      <c r="L328" s="58" t="s">
        <v>614</v>
      </c>
      <c r="M328" s="58" t="s">
        <v>614</v>
      </c>
      <c r="N328" s="58"/>
      <c r="O328" s="58" t="s">
        <v>614</v>
      </c>
      <c r="P328" s="58" t="s">
        <v>614</v>
      </c>
    </row>
    <row r="329" spans="1:16" ht="31.5" x14ac:dyDescent="0.25">
      <c r="A329" s="46" t="s">
        <v>331</v>
      </c>
      <c r="B329" s="46" t="s">
        <v>6</v>
      </c>
      <c r="C329" s="49">
        <f>C330</f>
        <v>0</v>
      </c>
      <c r="D329" s="49">
        <f t="shared" ref="D329:N329" si="646">D330</f>
        <v>0</v>
      </c>
      <c r="E329" s="58" t="s">
        <v>614</v>
      </c>
      <c r="F329" s="58" t="s">
        <v>614</v>
      </c>
      <c r="G329" s="49">
        <f t="shared" si="646"/>
        <v>0</v>
      </c>
      <c r="H329" s="100" t="s">
        <v>614</v>
      </c>
      <c r="I329" s="100" t="s">
        <v>614</v>
      </c>
      <c r="J329" s="49">
        <f t="shared" si="646"/>
        <v>0</v>
      </c>
      <c r="K329" s="49">
        <f t="shared" si="646"/>
        <v>0</v>
      </c>
      <c r="L329" s="100" t="s">
        <v>614</v>
      </c>
      <c r="M329" s="100" t="s">
        <v>614</v>
      </c>
      <c r="N329" s="49">
        <f t="shared" si="646"/>
        <v>0</v>
      </c>
      <c r="O329" s="100" t="s">
        <v>614</v>
      </c>
      <c r="P329" s="100" t="s">
        <v>614</v>
      </c>
    </row>
    <row r="330" spans="1:16" s="153" customFormat="1" ht="31.5" x14ac:dyDescent="0.25">
      <c r="A330" s="46" t="s">
        <v>332</v>
      </c>
      <c r="B330" s="46" t="s">
        <v>148</v>
      </c>
      <c r="C330" s="54">
        <f t="shared" ref="C330" si="647">+C331+C332</f>
        <v>0</v>
      </c>
      <c r="D330" s="54">
        <f t="shared" ref="D330:J330" si="648">+D331+D332</f>
        <v>0</v>
      </c>
      <c r="E330" s="58" t="s">
        <v>614</v>
      </c>
      <c r="F330" s="58" t="s">
        <v>614</v>
      </c>
      <c r="G330" s="54">
        <f t="shared" ref="G330" si="649">+G331+G332</f>
        <v>0</v>
      </c>
      <c r="H330" s="93" t="s">
        <v>614</v>
      </c>
      <c r="I330" s="93" t="s">
        <v>614</v>
      </c>
      <c r="J330" s="54">
        <f t="shared" si="648"/>
        <v>0</v>
      </c>
      <c r="K330" s="54">
        <f t="shared" ref="K330" si="650">+K331+K332</f>
        <v>0</v>
      </c>
      <c r="L330" s="93" t="s">
        <v>614</v>
      </c>
      <c r="M330" s="93" t="s">
        <v>614</v>
      </c>
      <c r="N330" s="54">
        <f t="shared" ref="N330" si="651">+N331+N332</f>
        <v>0</v>
      </c>
      <c r="O330" s="93" t="s">
        <v>614</v>
      </c>
      <c r="P330" s="93" t="s">
        <v>614</v>
      </c>
    </row>
    <row r="331" spans="1:16" ht="31.5" x14ac:dyDescent="0.25">
      <c r="A331" s="45" t="s">
        <v>333</v>
      </c>
      <c r="B331" s="45" t="s">
        <v>146</v>
      </c>
      <c r="C331" s="55">
        <f t="shared" ref="C331:C332" si="652">+D331+G331</f>
        <v>0</v>
      </c>
      <c r="D331" s="58"/>
      <c r="E331" s="58" t="s">
        <v>614</v>
      </c>
      <c r="F331" s="58" t="s">
        <v>614</v>
      </c>
      <c r="G331" s="58"/>
      <c r="H331" s="58" t="s">
        <v>614</v>
      </c>
      <c r="I331" s="58" t="s">
        <v>614</v>
      </c>
      <c r="J331" s="55">
        <f t="shared" ref="J331:J332" si="653">+K331+N331</f>
        <v>0</v>
      </c>
      <c r="K331" s="58"/>
      <c r="L331" s="58" t="s">
        <v>614</v>
      </c>
      <c r="M331" s="58" t="s">
        <v>614</v>
      </c>
      <c r="N331" s="58"/>
      <c r="O331" s="58" t="s">
        <v>614</v>
      </c>
      <c r="P331" s="58" t="s">
        <v>614</v>
      </c>
    </row>
    <row r="332" spans="1:16" ht="31.5" x14ac:dyDescent="0.25">
      <c r="A332" s="45" t="s">
        <v>334</v>
      </c>
      <c r="B332" s="45" t="s">
        <v>147</v>
      </c>
      <c r="C332" s="55">
        <f t="shared" si="652"/>
        <v>0</v>
      </c>
      <c r="D332" s="58"/>
      <c r="E332" s="58" t="s">
        <v>614</v>
      </c>
      <c r="F332" s="58" t="s">
        <v>614</v>
      </c>
      <c r="G332" s="58"/>
      <c r="H332" s="58" t="s">
        <v>614</v>
      </c>
      <c r="I332" s="58" t="s">
        <v>614</v>
      </c>
      <c r="J332" s="55">
        <f t="shared" si="653"/>
        <v>0</v>
      </c>
      <c r="K332" s="58"/>
      <c r="L332" s="58" t="s">
        <v>614</v>
      </c>
      <c r="M332" s="58" t="s">
        <v>614</v>
      </c>
      <c r="N332" s="58"/>
      <c r="O332" s="58" t="s">
        <v>614</v>
      </c>
      <c r="P332" s="58" t="s">
        <v>614</v>
      </c>
    </row>
    <row r="333" spans="1:16" ht="47.25" x14ac:dyDescent="0.25">
      <c r="A333" s="46" t="s">
        <v>335</v>
      </c>
      <c r="B333" s="46" t="s">
        <v>9</v>
      </c>
      <c r="C333" s="54">
        <f t="shared" ref="C333" si="654">+C334+C335</f>
        <v>0</v>
      </c>
      <c r="D333" s="54">
        <f t="shared" ref="D333:J333" si="655">+D334+D335</f>
        <v>0</v>
      </c>
      <c r="E333" s="58" t="s">
        <v>614</v>
      </c>
      <c r="F333" s="58" t="s">
        <v>614</v>
      </c>
      <c r="G333" s="54">
        <f t="shared" ref="G333" si="656">+G334+G335</f>
        <v>0</v>
      </c>
      <c r="H333" s="93" t="s">
        <v>614</v>
      </c>
      <c r="I333" s="93" t="s">
        <v>614</v>
      </c>
      <c r="J333" s="54">
        <f t="shared" si="655"/>
        <v>0</v>
      </c>
      <c r="K333" s="54">
        <f t="shared" ref="K333" si="657">+K334+K335</f>
        <v>0</v>
      </c>
      <c r="L333" s="93" t="s">
        <v>614</v>
      </c>
      <c r="M333" s="93" t="s">
        <v>614</v>
      </c>
      <c r="N333" s="54">
        <f t="shared" ref="N333" si="658">+N334+N335</f>
        <v>0</v>
      </c>
      <c r="O333" s="93" t="s">
        <v>614</v>
      </c>
      <c r="P333" s="93" t="s">
        <v>614</v>
      </c>
    </row>
    <row r="334" spans="1:16" ht="21.75" customHeight="1" x14ac:dyDescent="0.25">
      <c r="A334" s="45" t="s">
        <v>336</v>
      </c>
      <c r="B334" s="45" t="s">
        <v>150</v>
      </c>
      <c r="C334" s="55">
        <f t="shared" ref="C334:C335" si="659">+D334+G334</f>
        <v>0</v>
      </c>
      <c r="D334" s="58"/>
      <c r="E334" s="58" t="s">
        <v>614</v>
      </c>
      <c r="F334" s="58" t="s">
        <v>614</v>
      </c>
      <c r="G334" s="58"/>
      <c r="H334" s="58" t="s">
        <v>614</v>
      </c>
      <c r="I334" s="58" t="s">
        <v>614</v>
      </c>
      <c r="J334" s="55">
        <f t="shared" ref="J334:J335" si="660">+K334+N334</f>
        <v>0</v>
      </c>
      <c r="K334" s="58"/>
      <c r="L334" s="58" t="s">
        <v>614</v>
      </c>
      <c r="M334" s="58" t="s">
        <v>614</v>
      </c>
      <c r="N334" s="58"/>
      <c r="O334" s="58" t="s">
        <v>614</v>
      </c>
      <c r="P334" s="58" t="s">
        <v>614</v>
      </c>
    </row>
    <row r="335" spans="1:16" ht="24.75" customHeight="1" x14ac:dyDescent="0.25">
      <c r="A335" s="45" t="s">
        <v>337</v>
      </c>
      <c r="B335" s="45" t="s">
        <v>151</v>
      </c>
      <c r="C335" s="55">
        <f t="shared" si="659"/>
        <v>0</v>
      </c>
      <c r="D335" s="58"/>
      <c r="E335" s="58" t="s">
        <v>614</v>
      </c>
      <c r="F335" s="58" t="s">
        <v>614</v>
      </c>
      <c r="G335" s="58"/>
      <c r="H335" s="58" t="s">
        <v>614</v>
      </c>
      <c r="I335" s="58" t="s">
        <v>614</v>
      </c>
      <c r="J335" s="55">
        <f t="shared" si="660"/>
        <v>0</v>
      </c>
      <c r="K335" s="58"/>
      <c r="L335" s="58" t="s">
        <v>614</v>
      </c>
      <c r="M335" s="58" t="s">
        <v>614</v>
      </c>
      <c r="N335" s="58"/>
      <c r="O335" s="58" t="s">
        <v>614</v>
      </c>
      <c r="P335" s="58" t="s">
        <v>614</v>
      </c>
    </row>
    <row r="336" spans="1:16" x14ac:dyDescent="0.25">
      <c r="A336" s="46" t="s">
        <v>338</v>
      </c>
      <c r="B336" s="46" t="s">
        <v>152</v>
      </c>
      <c r="C336" s="68">
        <f t="shared" ref="C336:N336" si="661">C337</f>
        <v>0</v>
      </c>
      <c r="D336" s="68">
        <f t="shared" si="661"/>
        <v>0</v>
      </c>
      <c r="E336" s="58" t="s">
        <v>614</v>
      </c>
      <c r="F336" s="58" t="s">
        <v>614</v>
      </c>
      <c r="G336" s="68">
        <f t="shared" si="661"/>
        <v>0</v>
      </c>
      <c r="H336" s="101" t="s">
        <v>614</v>
      </c>
      <c r="I336" s="101" t="s">
        <v>614</v>
      </c>
      <c r="J336" s="68">
        <f t="shared" si="661"/>
        <v>0</v>
      </c>
      <c r="K336" s="68">
        <f t="shared" si="661"/>
        <v>0</v>
      </c>
      <c r="L336" s="101" t="s">
        <v>614</v>
      </c>
      <c r="M336" s="101" t="s">
        <v>614</v>
      </c>
      <c r="N336" s="68">
        <f t="shared" si="661"/>
        <v>0</v>
      </c>
      <c r="O336" s="101" t="s">
        <v>614</v>
      </c>
      <c r="P336" s="101" t="s">
        <v>614</v>
      </c>
    </row>
    <row r="337" spans="1:16" x14ac:dyDescent="0.25">
      <c r="A337" s="46" t="s">
        <v>339</v>
      </c>
      <c r="B337" s="46" t="s">
        <v>2</v>
      </c>
      <c r="C337" s="68">
        <f>+C338</f>
        <v>0</v>
      </c>
      <c r="D337" s="68">
        <f t="shared" ref="D337:N337" si="662">+D338</f>
        <v>0</v>
      </c>
      <c r="E337" s="58" t="s">
        <v>614</v>
      </c>
      <c r="F337" s="58" t="s">
        <v>614</v>
      </c>
      <c r="G337" s="68">
        <f t="shared" si="662"/>
        <v>0</v>
      </c>
      <c r="H337" s="102" t="s">
        <v>614</v>
      </c>
      <c r="I337" s="102" t="s">
        <v>614</v>
      </c>
      <c r="J337" s="68">
        <f t="shared" si="662"/>
        <v>0</v>
      </c>
      <c r="K337" s="68">
        <f t="shared" si="662"/>
        <v>0</v>
      </c>
      <c r="L337" s="102" t="s">
        <v>614</v>
      </c>
      <c r="M337" s="102" t="s">
        <v>614</v>
      </c>
      <c r="N337" s="68">
        <f t="shared" si="662"/>
        <v>0</v>
      </c>
      <c r="O337" s="102" t="s">
        <v>614</v>
      </c>
      <c r="P337" s="102" t="s">
        <v>614</v>
      </c>
    </row>
    <row r="338" spans="1:16" s="153" customFormat="1" ht="31.5" x14ac:dyDescent="0.25">
      <c r="A338" s="46" t="s">
        <v>340</v>
      </c>
      <c r="B338" s="46" t="s">
        <v>6</v>
      </c>
      <c r="C338" s="68">
        <f>C341</f>
        <v>0</v>
      </c>
      <c r="D338" s="68">
        <f>D341</f>
        <v>0</v>
      </c>
      <c r="E338" s="58" t="s">
        <v>614</v>
      </c>
      <c r="F338" s="58" t="s">
        <v>614</v>
      </c>
      <c r="G338" s="68">
        <f>G341</f>
        <v>0</v>
      </c>
      <c r="H338" s="102" t="s">
        <v>614</v>
      </c>
      <c r="I338" s="102" t="s">
        <v>614</v>
      </c>
      <c r="J338" s="68">
        <f t="shared" ref="J338:K338" si="663">J341</f>
        <v>0</v>
      </c>
      <c r="K338" s="68">
        <f t="shared" si="663"/>
        <v>0</v>
      </c>
      <c r="L338" s="102" t="s">
        <v>614</v>
      </c>
      <c r="M338" s="102" t="s">
        <v>614</v>
      </c>
      <c r="N338" s="68">
        <f>N341</f>
        <v>0</v>
      </c>
      <c r="O338" s="102" t="s">
        <v>614</v>
      </c>
      <c r="P338" s="102" t="s">
        <v>614</v>
      </c>
    </row>
    <row r="339" spans="1:16" s="153" customFormat="1" x14ac:dyDescent="0.25">
      <c r="A339" s="120"/>
      <c r="B339" s="130" t="s">
        <v>613</v>
      </c>
      <c r="C339" s="69">
        <f t="shared" ref="C339:C340" si="664">+D339+G339</f>
        <v>0</v>
      </c>
      <c r="D339" s="89"/>
      <c r="E339" s="58" t="s">
        <v>614</v>
      </c>
      <c r="F339" s="58" t="s">
        <v>614</v>
      </c>
      <c r="G339" s="89"/>
      <c r="H339" s="89" t="s">
        <v>614</v>
      </c>
      <c r="I339" s="89" t="s">
        <v>614</v>
      </c>
      <c r="J339" s="69">
        <f t="shared" ref="J339:J340" si="665">+K339+N339</f>
        <v>0</v>
      </c>
      <c r="K339" s="89"/>
      <c r="L339" s="89" t="s">
        <v>614</v>
      </c>
      <c r="M339" s="89" t="s">
        <v>614</v>
      </c>
      <c r="N339" s="89"/>
      <c r="O339" s="89" t="s">
        <v>614</v>
      </c>
      <c r="P339" s="89" t="s">
        <v>614</v>
      </c>
    </row>
    <row r="340" spans="1:16" s="153" customFormat="1" x14ac:dyDescent="0.25">
      <c r="A340" s="120"/>
      <c r="B340" s="130" t="s">
        <v>149</v>
      </c>
      <c r="C340" s="69">
        <f t="shared" si="664"/>
        <v>0</v>
      </c>
      <c r="D340" s="89"/>
      <c r="E340" s="58" t="s">
        <v>614</v>
      </c>
      <c r="F340" s="58" t="s">
        <v>614</v>
      </c>
      <c r="G340" s="89"/>
      <c r="H340" s="89" t="s">
        <v>614</v>
      </c>
      <c r="I340" s="89" t="s">
        <v>614</v>
      </c>
      <c r="J340" s="69">
        <f t="shared" si="665"/>
        <v>0</v>
      </c>
      <c r="K340" s="89"/>
      <c r="L340" s="89" t="s">
        <v>614</v>
      </c>
      <c r="M340" s="89" t="s">
        <v>614</v>
      </c>
      <c r="N340" s="89"/>
      <c r="O340" s="89" t="s">
        <v>614</v>
      </c>
      <c r="P340" s="89" t="s">
        <v>614</v>
      </c>
    </row>
    <row r="341" spans="1:16" x14ac:dyDescent="0.25">
      <c r="A341" s="46" t="s">
        <v>341</v>
      </c>
      <c r="B341" s="46" t="s">
        <v>14</v>
      </c>
      <c r="C341" s="68">
        <f t="shared" ref="C341:N341" si="666">C342</f>
        <v>0</v>
      </c>
      <c r="D341" s="68">
        <f t="shared" si="666"/>
        <v>0</v>
      </c>
      <c r="E341" s="58" t="s">
        <v>614</v>
      </c>
      <c r="F341" s="58" t="s">
        <v>614</v>
      </c>
      <c r="G341" s="68">
        <f t="shared" si="666"/>
        <v>0</v>
      </c>
      <c r="H341" s="101" t="s">
        <v>614</v>
      </c>
      <c r="I341" s="101" t="s">
        <v>614</v>
      </c>
      <c r="J341" s="68">
        <f t="shared" si="666"/>
        <v>0</v>
      </c>
      <c r="K341" s="68">
        <f t="shared" si="666"/>
        <v>0</v>
      </c>
      <c r="L341" s="101" t="s">
        <v>614</v>
      </c>
      <c r="M341" s="101" t="s">
        <v>614</v>
      </c>
      <c r="N341" s="68">
        <f t="shared" si="666"/>
        <v>0</v>
      </c>
      <c r="O341" s="101" t="s">
        <v>614</v>
      </c>
      <c r="P341" s="101" t="s">
        <v>614</v>
      </c>
    </row>
    <row r="342" spans="1:16" s="153" customFormat="1" x14ac:dyDescent="0.25">
      <c r="A342" s="131" t="s">
        <v>342</v>
      </c>
      <c r="B342" s="131" t="s">
        <v>2</v>
      </c>
      <c r="C342" s="70">
        <f>+C343</f>
        <v>0</v>
      </c>
      <c r="D342" s="70">
        <f t="shared" ref="D342:N342" si="667">+D343</f>
        <v>0</v>
      </c>
      <c r="E342" s="58" t="s">
        <v>614</v>
      </c>
      <c r="F342" s="58" t="s">
        <v>614</v>
      </c>
      <c r="G342" s="70">
        <f t="shared" si="667"/>
        <v>0</v>
      </c>
      <c r="H342" s="103" t="s">
        <v>614</v>
      </c>
      <c r="I342" s="103" t="s">
        <v>614</v>
      </c>
      <c r="J342" s="70">
        <f t="shared" si="667"/>
        <v>0</v>
      </c>
      <c r="K342" s="70">
        <f t="shared" si="667"/>
        <v>0</v>
      </c>
      <c r="L342" s="103" t="s">
        <v>614</v>
      </c>
      <c r="M342" s="103" t="s">
        <v>614</v>
      </c>
      <c r="N342" s="70">
        <f t="shared" si="667"/>
        <v>0</v>
      </c>
      <c r="O342" s="103" t="s">
        <v>614</v>
      </c>
      <c r="P342" s="103" t="s">
        <v>614</v>
      </c>
    </row>
    <row r="343" spans="1:16" s="153" customFormat="1" ht="31.5" x14ac:dyDescent="0.25">
      <c r="A343" s="46" t="s">
        <v>343</v>
      </c>
      <c r="B343" s="46" t="s">
        <v>6</v>
      </c>
      <c r="C343" s="70">
        <f t="shared" ref="C343:N344" si="668">+C344</f>
        <v>0</v>
      </c>
      <c r="D343" s="70">
        <f t="shared" si="668"/>
        <v>0</v>
      </c>
      <c r="E343" s="58" t="s">
        <v>614</v>
      </c>
      <c r="F343" s="58" t="s">
        <v>614</v>
      </c>
      <c r="G343" s="70">
        <f t="shared" si="668"/>
        <v>0</v>
      </c>
      <c r="H343" s="104" t="s">
        <v>614</v>
      </c>
      <c r="I343" s="104" t="s">
        <v>614</v>
      </c>
      <c r="J343" s="70">
        <f t="shared" si="668"/>
        <v>0</v>
      </c>
      <c r="K343" s="70">
        <f t="shared" si="668"/>
        <v>0</v>
      </c>
      <c r="L343" s="104" t="s">
        <v>614</v>
      </c>
      <c r="M343" s="104" t="s">
        <v>614</v>
      </c>
      <c r="N343" s="70">
        <f t="shared" si="668"/>
        <v>0</v>
      </c>
      <c r="O343" s="104" t="s">
        <v>614</v>
      </c>
      <c r="P343" s="104" t="s">
        <v>614</v>
      </c>
    </row>
    <row r="344" spans="1:16" s="153" customFormat="1" ht="31.5" x14ac:dyDescent="0.25">
      <c r="A344" s="46" t="s">
        <v>344</v>
      </c>
      <c r="B344" s="46" t="s">
        <v>148</v>
      </c>
      <c r="C344" s="70">
        <f t="shared" si="668"/>
        <v>0</v>
      </c>
      <c r="D344" s="70">
        <f t="shared" si="668"/>
        <v>0</v>
      </c>
      <c r="E344" s="58" t="s">
        <v>614</v>
      </c>
      <c r="F344" s="58" t="s">
        <v>614</v>
      </c>
      <c r="G344" s="70">
        <f t="shared" si="668"/>
        <v>0</v>
      </c>
      <c r="H344" s="104" t="s">
        <v>614</v>
      </c>
      <c r="I344" s="104" t="s">
        <v>614</v>
      </c>
      <c r="J344" s="70">
        <f t="shared" si="668"/>
        <v>0</v>
      </c>
      <c r="K344" s="70">
        <f t="shared" si="668"/>
        <v>0</v>
      </c>
      <c r="L344" s="104" t="s">
        <v>614</v>
      </c>
      <c r="M344" s="104" t="s">
        <v>614</v>
      </c>
      <c r="N344" s="70">
        <f t="shared" si="668"/>
        <v>0</v>
      </c>
      <c r="O344" s="104" t="s">
        <v>614</v>
      </c>
      <c r="P344" s="104" t="s">
        <v>614</v>
      </c>
    </row>
    <row r="345" spans="1:16" s="153" customFormat="1" ht="31.5" x14ac:dyDescent="0.25">
      <c r="A345" s="45" t="s">
        <v>345</v>
      </c>
      <c r="B345" s="45" t="s">
        <v>149</v>
      </c>
      <c r="C345" s="55">
        <f>+D345+G345</f>
        <v>0</v>
      </c>
      <c r="D345" s="58"/>
      <c r="E345" s="58" t="s">
        <v>614</v>
      </c>
      <c r="F345" s="58" t="s">
        <v>614</v>
      </c>
      <c r="G345" s="58"/>
      <c r="H345" s="58" t="s">
        <v>614</v>
      </c>
      <c r="I345" s="58" t="s">
        <v>614</v>
      </c>
      <c r="J345" s="55">
        <f>+K345+N345</f>
        <v>0</v>
      </c>
      <c r="K345" s="58"/>
      <c r="L345" s="58" t="s">
        <v>614</v>
      </c>
      <c r="M345" s="58" t="s">
        <v>614</v>
      </c>
      <c r="N345" s="58"/>
      <c r="O345" s="58" t="s">
        <v>614</v>
      </c>
      <c r="P345" s="58" t="s">
        <v>614</v>
      </c>
    </row>
    <row r="346" spans="1:16" hidden="1" x14ac:dyDescent="0.25"/>
    <row r="347" spans="1:16" hidden="1" x14ac:dyDescent="0.25">
      <c r="A347" s="133"/>
      <c r="B347" s="132" t="s">
        <v>382</v>
      </c>
      <c r="D347" s="72"/>
      <c r="E347" s="105"/>
      <c r="F347" s="105"/>
      <c r="G347" s="72"/>
      <c r="H347" s="105"/>
      <c r="I347" s="105"/>
      <c r="J347" s="72"/>
      <c r="K347" s="72" t="s">
        <v>384</v>
      </c>
      <c r="L347" s="105"/>
      <c r="M347" s="105"/>
      <c r="N347" s="72"/>
      <c r="O347" s="105"/>
      <c r="P347" s="105"/>
    </row>
    <row r="348" spans="1:16" hidden="1" x14ac:dyDescent="0.25">
      <c r="A348" s="133"/>
      <c r="B348" s="133"/>
      <c r="C348" s="73"/>
      <c r="D348" s="73"/>
      <c r="E348" s="73"/>
      <c r="F348" s="73"/>
      <c r="G348" s="73"/>
      <c r="H348" s="73"/>
      <c r="I348" s="73"/>
      <c r="J348" s="73"/>
      <c r="K348" s="73"/>
      <c r="L348" s="73"/>
      <c r="M348" s="73"/>
      <c r="N348" s="73"/>
      <c r="O348" s="73"/>
      <c r="P348" s="73"/>
    </row>
    <row r="349" spans="1:16" hidden="1" x14ac:dyDescent="0.25">
      <c r="A349" s="133"/>
      <c r="B349" s="134"/>
      <c r="C349" s="73"/>
      <c r="D349" s="73"/>
      <c r="E349" s="73"/>
      <c r="F349" s="73"/>
      <c r="G349" s="73"/>
      <c r="H349" s="73"/>
      <c r="I349" s="73"/>
      <c r="J349" s="73"/>
      <c r="K349" s="73"/>
      <c r="L349" s="73"/>
      <c r="M349" s="73"/>
      <c r="N349" s="73"/>
      <c r="O349" s="73"/>
      <c r="P349" s="73"/>
    </row>
    <row r="350" spans="1:16" hidden="1" x14ac:dyDescent="0.25">
      <c r="C350" s="74"/>
      <c r="D350" s="74"/>
      <c r="G350" s="74"/>
      <c r="J350" s="74"/>
      <c r="K350" s="74"/>
      <c r="N350" s="74"/>
    </row>
    <row r="351" spans="1:16" hidden="1" x14ac:dyDescent="0.25">
      <c r="C351" s="74"/>
      <c r="D351" s="74"/>
      <c r="G351" s="74"/>
      <c r="J351" s="74"/>
      <c r="K351" s="74"/>
      <c r="N351" s="74"/>
    </row>
    <row r="352" spans="1:16" s="153" customFormat="1" hidden="1" x14ac:dyDescent="0.25">
      <c r="A352" s="135"/>
      <c r="B352" s="135" t="s">
        <v>153</v>
      </c>
      <c r="C352" s="75">
        <f t="shared" ref="C352:N352" si="669">C44-C90</f>
        <v>1027490</v>
      </c>
      <c r="D352" s="75">
        <f t="shared" si="669"/>
        <v>978226</v>
      </c>
      <c r="E352" s="79"/>
      <c r="F352" s="79"/>
      <c r="G352" s="75">
        <f t="shared" si="669"/>
        <v>49264</v>
      </c>
      <c r="H352" s="79"/>
      <c r="I352" s="79"/>
      <c r="J352" s="75">
        <f t="shared" si="669"/>
        <v>76070</v>
      </c>
      <c r="K352" s="75">
        <f t="shared" si="669"/>
        <v>76070</v>
      </c>
      <c r="L352" s="79"/>
      <c r="M352" s="79"/>
      <c r="N352" s="75">
        <f t="shared" si="669"/>
        <v>0</v>
      </c>
      <c r="O352" s="79"/>
      <c r="P352" s="79"/>
    </row>
    <row r="353" spans="1:16" s="156" customFormat="1" hidden="1" x14ac:dyDescent="0.25">
      <c r="A353" s="135"/>
      <c r="B353" s="135" t="s">
        <v>154</v>
      </c>
      <c r="C353" s="75">
        <f>C354+C355+C356+C357+C358+C359+C360+C361+C391+C394+C397+C406++C407+C412+C413</f>
        <v>32118632</v>
      </c>
      <c r="D353" s="75">
        <f t="shared" ref="D353:I353" si="670">D354+D355+D356+D357+D358+D359+D360+D361+D391+D394+D397+D406++D407+D412+D413</f>
        <v>30096376</v>
      </c>
      <c r="E353" s="78">
        <f t="shared" si="670"/>
        <v>16233547</v>
      </c>
      <c r="F353" s="78">
        <f t="shared" si="670"/>
        <v>13862829</v>
      </c>
      <c r="G353" s="75">
        <f t="shared" si="670"/>
        <v>2022256</v>
      </c>
      <c r="H353" s="78">
        <f t="shared" si="670"/>
        <v>1092798</v>
      </c>
      <c r="I353" s="78">
        <f t="shared" si="670"/>
        <v>929458</v>
      </c>
      <c r="J353" s="75">
        <f>J354+J355+J356+J357+J358+J359+J360+J361+J391+J394+J397+J406++J407+J412+J413</f>
        <v>4629044</v>
      </c>
      <c r="K353" s="75">
        <f t="shared" ref="K353" si="671">K354+K355+K356+K357+K358+K359+K360+K361+K391+K394+K397+K406++K407+K412+K413</f>
        <v>4629044</v>
      </c>
      <c r="L353" s="78">
        <f t="shared" ref="L353" si="672">L354+L355+L356+L357+L358+L359+L360+L361+L391+L394+L397+L406++L407+L412+L413</f>
        <v>1071202</v>
      </c>
      <c r="M353" s="78">
        <f t="shared" ref="M353" si="673">M354+M355+M356+M357+M358+M359+M360+M361+M391+M394+M397+M406++M407+M412+M413</f>
        <v>3557842</v>
      </c>
      <c r="N353" s="75">
        <f t="shared" ref="N353" si="674">N354+N355+N356+N357+N358+N359+N360+N361+N391+N394+N397+N406++N407+N412+N413</f>
        <v>0</v>
      </c>
      <c r="O353" s="78">
        <f t="shared" ref="O353" si="675">O354+O355+O356+O357+O358+O359+O360+O361+O391+O394+O397+O406++O407+O412+O413</f>
        <v>0</v>
      </c>
      <c r="P353" s="78">
        <f t="shared" ref="P353" si="676">P354+P355+P356+P357+P358+P359+P360+P361+P391+P394+P397+P406++P407+P412+P413</f>
        <v>0</v>
      </c>
    </row>
    <row r="354" spans="1:16" s="154" customFormat="1" hidden="1" x14ac:dyDescent="0.25">
      <c r="A354" s="136"/>
      <c r="B354" s="136" t="s">
        <v>155</v>
      </c>
      <c r="C354" s="75">
        <f t="shared" ref="C354:P354" si="677">C108+C220+C247+C284</f>
        <v>276960</v>
      </c>
      <c r="D354" s="75">
        <f t="shared" si="677"/>
        <v>276960</v>
      </c>
      <c r="E354" s="78">
        <f t="shared" si="677"/>
        <v>276960</v>
      </c>
      <c r="F354" s="78">
        <f t="shared" si="677"/>
        <v>0</v>
      </c>
      <c r="G354" s="75">
        <f t="shared" si="677"/>
        <v>0</v>
      </c>
      <c r="H354" s="78">
        <f t="shared" si="677"/>
        <v>0</v>
      </c>
      <c r="I354" s="78">
        <f t="shared" si="677"/>
        <v>0</v>
      </c>
      <c r="J354" s="75">
        <f t="shared" si="677"/>
        <v>25000</v>
      </c>
      <c r="K354" s="75">
        <f t="shared" si="677"/>
        <v>25000</v>
      </c>
      <c r="L354" s="78">
        <f t="shared" si="677"/>
        <v>25000</v>
      </c>
      <c r="M354" s="78">
        <f t="shared" si="677"/>
        <v>0</v>
      </c>
      <c r="N354" s="75">
        <f t="shared" si="677"/>
        <v>0</v>
      </c>
      <c r="O354" s="78">
        <f t="shared" si="677"/>
        <v>0</v>
      </c>
      <c r="P354" s="78">
        <f t="shared" si="677"/>
        <v>0</v>
      </c>
    </row>
    <row r="355" spans="1:16" s="153" customFormat="1" hidden="1" x14ac:dyDescent="0.25">
      <c r="A355" s="136"/>
      <c r="B355" s="136" t="s">
        <v>156</v>
      </c>
      <c r="C355" s="75">
        <f t="shared" ref="C355:P355" si="678">C202</f>
        <v>0</v>
      </c>
      <c r="D355" s="75">
        <f t="shared" si="678"/>
        <v>0</v>
      </c>
      <c r="E355" s="78">
        <f t="shared" si="678"/>
        <v>0</v>
      </c>
      <c r="F355" s="78">
        <f t="shared" si="678"/>
        <v>0</v>
      </c>
      <c r="G355" s="75">
        <f t="shared" si="678"/>
        <v>0</v>
      </c>
      <c r="H355" s="78">
        <f t="shared" si="678"/>
        <v>0</v>
      </c>
      <c r="I355" s="78">
        <f t="shared" si="678"/>
        <v>0</v>
      </c>
      <c r="J355" s="75">
        <f t="shared" si="678"/>
        <v>0</v>
      </c>
      <c r="K355" s="75">
        <f t="shared" si="678"/>
        <v>0</v>
      </c>
      <c r="L355" s="78">
        <f t="shared" si="678"/>
        <v>0</v>
      </c>
      <c r="M355" s="78">
        <f t="shared" si="678"/>
        <v>0</v>
      </c>
      <c r="N355" s="75">
        <f t="shared" si="678"/>
        <v>0</v>
      </c>
      <c r="O355" s="78">
        <f t="shared" si="678"/>
        <v>0</v>
      </c>
      <c r="P355" s="78">
        <f t="shared" si="678"/>
        <v>0</v>
      </c>
    </row>
    <row r="356" spans="1:16" s="153" customFormat="1" hidden="1" x14ac:dyDescent="0.25">
      <c r="A356" s="136"/>
      <c r="B356" s="136" t="s">
        <v>157</v>
      </c>
      <c r="C356" s="75">
        <f t="shared" ref="C356:P356" si="679">C203</f>
        <v>0</v>
      </c>
      <c r="D356" s="75">
        <f t="shared" si="679"/>
        <v>0</v>
      </c>
      <c r="E356" s="78">
        <f t="shared" si="679"/>
        <v>0</v>
      </c>
      <c r="F356" s="78">
        <f t="shared" si="679"/>
        <v>0</v>
      </c>
      <c r="G356" s="75">
        <f t="shared" si="679"/>
        <v>0</v>
      </c>
      <c r="H356" s="78">
        <f t="shared" si="679"/>
        <v>0</v>
      </c>
      <c r="I356" s="78">
        <f t="shared" si="679"/>
        <v>0</v>
      </c>
      <c r="J356" s="75">
        <f t="shared" si="679"/>
        <v>0</v>
      </c>
      <c r="K356" s="75">
        <f t="shared" si="679"/>
        <v>0</v>
      </c>
      <c r="L356" s="78">
        <f t="shared" si="679"/>
        <v>0</v>
      </c>
      <c r="M356" s="78">
        <f t="shared" si="679"/>
        <v>0</v>
      </c>
      <c r="N356" s="75">
        <f t="shared" si="679"/>
        <v>0</v>
      </c>
      <c r="O356" s="78">
        <f t="shared" si="679"/>
        <v>0</v>
      </c>
      <c r="P356" s="78">
        <f t="shared" si="679"/>
        <v>0</v>
      </c>
    </row>
    <row r="357" spans="1:16" s="153" customFormat="1" hidden="1" x14ac:dyDescent="0.25">
      <c r="A357" s="136"/>
      <c r="B357" s="136" t="s">
        <v>158</v>
      </c>
      <c r="C357" s="75">
        <f t="shared" ref="C357:P357" si="680">C201</f>
        <v>3682802</v>
      </c>
      <c r="D357" s="75">
        <f t="shared" si="680"/>
        <v>3373338</v>
      </c>
      <c r="E357" s="78">
        <f t="shared" si="680"/>
        <v>0</v>
      </c>
      <c r="F357" s="78">
        <f t="shared" si="680"/>
        <v>3373338</v>
      </c>
      <c r="G357" s="75">
        <f t="shared" si="680"/>
        <v>309464</v>
      </c>
      <c r="H357" s="78">
        <f t="shared" si="680"/>
        <v>0</v>
      </c>
      <c r="I357" s="78">
        <f t="shared" si="680"/>
        <v>309464</v>
      </c>
      <c r="J357" s="75">
        <f t="shared" si="680"/>
        <v>304364</v>
      </c>
      <c r="K357" s="75">
        <f t="shared" si="680"/>
        <v>304364</v>
      </c>
      <c r="L357" s="78">
        <f t="shared" si="680"/>
        <v>0</v>
      </c>
      <c r="M357" s="78">
        <f t="shared" si="680"/>
        <v>304364</v>
      </c>
      <c r="N357" s="75">
        <f t="shared" si="680"/>
        <v>0</v>
      </c>
      <c r="O357" s="78">
        <f t="shared" si="680"/>
        <v>0</v>
      </c>
      <c r="P357" s="78">
        <f t="shared" si="680"/>
        <v>0</v>
      </c>
    </row>
    <row r="358" spans="1:16" s="153" customFormat="1" hidden="1" x14ac:dyDescent="0.25">
      <c r="A358" s="136"/>
      <c r="B358" s="136" t="s">
        <v>159</v>
      </c>
      <c r="C358" s="75">
        <f t="shared" ref="C358:P358" si="681">C205</f>
        <v>107821</v>
      </c>
      <c r="D358" s="75">
        <f t="shared" si="681"/>
        <v>99902</v>
      </c>
      <c r="E358" s="78">
        <f t="shared" si="681"/>
        <v>0</v>
      </c>
      <c r="F358" s="78">
        <f t="shared" si="681"/>
        <v>99902</v>
      </c>
      <c r="G358" s="75">
        <f t="shared" si="681"/>
        <v>7919</v>
      </c>
      <c r="H358" s="78">
        <f t="shared" si="681"/>
        <v>0</v>
      </c>
      <c r="I358" s="78">
        <f t="shared" si="681"/>
        <v>7919</v>
      </c>
      <c r="J358" s="75">
        <f t="shared" si="681"/>
        <v>11158</v>
      </c>
      <c r="K358" s="75">
        <f t="shared" si="681"/>
        <v>11158</v>
      </c>
      <c r="L358" s="78">
        <f t="shared" si="681"/>
        <v>0</v>
      </c>
      <c r="M358" s="78">
        <f t="shared" si="681"/>
        <v>11158</v>
      </c>
      <c r="N358" s="75">
        <f t="shared" si="681"/>
        <v>0</v>
      </c>
      <c r="O358" s="78">
        <f t="shared" si="681"/>
        <v>0</v>
      </c>
      <c r="P358" s="78">
        <f t="shared" si="681"/>
        <v>0</v>
      </c>
    </row>
    <row r="359" spans="1:16" s="153" customFormat="1" hidden="1" x14ac:dyDescent="0.25">
      <c r="A359" s="136"/>
      <c r="B359" s="136" t="s">
        <v>160</v>
      </c>
      <c r="C359" s="75">
        <f t="shared" ref="C359:P359" si="682">C107</f>
        <v>1132950</v>
      </c>
      <c r="D359" s="75">
        <f t="shared" si="682"/>
        <v>1040152</v>
      </c>
      <c r="E359" s="78">
        <f t="shared" si="682"/>
        <v>0</v>
      </c>
      <c r="F359" s="78">
        <f t="shared" si="682"/>
        <v>1040152</v>
      </c>
      <c r="G359" s="75">
        <f t="shared" si="682"/>
        <v>92798</v>
      </c>
      <c r="H359" s="78">
        <f t="shared" si="682"/>
        <v>0</v>
      </c>
      <c r="I359" s="78">
        <f t="shared" si="682"/>
        <v>92798</v>
      </c>
      <c r="J359" s="75">
        <f t="shared" si="682"/>
        <v>232634</v>
      </c>
      <c r="K359" s="75">
        <f t="shared" si="682"/>
        <v>232634</v>
      </c>
      <c r="L359" s="78">
        <f t="shared" si="682"/>
        <v>0</v>
      </c>
      <c r="M359" s="78">
        <f t="shared" si="682"/>
        <v>232634</v>
      </c>
      <c r="N359" s="75">
        <f t="shared" si="682"/>
        <v>0</v>
      </c>
      <c r="O359" s="78">
        <f t="shared" si="682"/>
        <v>0</v>
      </c>
      <c r="P359" s="78">
        <f t="shared" si="682"/>
        <v>0</v>
      </c>
    </row>
    <row r="360" spans="1:16" s="158" customFormat="1" hidden="1" x14ac:dyDescent="0.25">
      <c r="A360" s="136"/>
      <c r="B360" s="136" t="s">
        <v>161</v>
      </c>
      <c r="C360" s="75">
        <f t="shared" ref="C360:P360" si="683">C109</f>
        <v>3159920</v>
      </c>
      <c r="D360" s="75">
        <f t="shared" si="683"/>
        <v>2887715</v>
      </c>
      <c r="E360" s="78">
        <f t="shared" si="683"/>
        <v>0</v>
      </c>
      <c r="F360" s="78">
        <f t="shared" si="683"/>
        <v>2887715</v>
      </c>
      <c r="G360" s="75">
        <f t="shared" si="683"/>
        <v>272205</v>
      </c>
      <c r="H360" s="78">
        <f t="shared" si="683"/>
        <v>0</v>
      </c>
      <c r="I360" s="78">
        <f t="shared" si="683"/>
        <v>272205</v>
      </c>
      <c r="J360" s="75">
        <f t="shared" si="683"/>
        <v>302697</v>
      </c>
      <c r="K360" s="75">
        <f t="shared" si="683"/>
        <v>302697</v>
      </c>
      <c r="L360" s="78">
        <f t="shared" si="683"/>
        <v>0</v>
      </c>
      <c r="M360" s="78">
        <f t="shared" si="683"/>
        <v>302697</v>
      </c>
      <c r="N360" s="75">
        <f t="shared" si="683"/>
        <v>0</v>
      </c>
      <c r="O360" s="78">
        <f t="shared" si="683"/>
        <v>0</v>
      </c>
      <c r="P360" s="78">
        <f t="shared" si="683"/>
        <v>0</v>
      </c>
    </row>
    <row r="361" spans="1:16" s="153" customFormat="1" hidden="1" x14ac:dyDescent="0.25">
      <c r="A361" s="135"/>
      <c r="B361" s="135" t="s">
        <v>162</v>
      </c>
      <c r="C361" s="76">
        <f>C362+C368+C371+C372+C373+C374+C375+C376+C377+C382+C383+C384+C389+C390</f>
        <v>2791206</v>
      </c>
      <c r="D361" s="76">
        <f t="shared" ref="D361:I361" si="684">D362+D368+D371+D372+D373+D374+D375+D376+D377+D382+D383+D384+D389+D390</f>
        <v>2791206</v>
      </c>
      <c r="E361" s="77">
        <f t="shared" si="684"/>
        <v>910507</v>
      </c>
      <c r="F361" s="77">
        <f t="shared" si="684"/>
        <v>1880699</v>
      </c>
      <c r="G361" s="76">
        <f t="shared" si="684"/>
        <v>0</v>
      </c>
      <c r="H361" s="77">
        <f t="shared" si="684"/>
        <v>0</v>
      </c>
      <c r="I361" s="77">
        <f t="shared" si="684"/>
        <v>0</v>
      </c>
      <c r="J361" s="76">
        <f>J362+J368+J371+J372+J373+J374+J375+J376+J377+J382+J383+J384+J389+J390</f>
        <v>280195</v>
      </c>
      <c r="K361" s="76">
        <f t="shared" ref="K361" si="685">K362+K368+K371+K372+K373+K374+K375+K376+K377+K382+K383+K384+K389+K390</f>
        <v>280195</v>
      </c>
      <c r="L361" s="77">
        <f t="shared" ref="L361" si="686">L362+L368+L371+L372+L373+L374+L375+L376+L377+L382+L383+L384+L389+L390</f>
        <v>89626</v>
      </c>
      <c r="M361" s="77">
        <f t="shared" ref="M361" si="687">M362+M368+M371+M372+M373+M374+M375+M376+M377+M382+M383+M384+M389+M390</f>
        <v>190569</v>
      </c>
      <c r="N361" s="76">
        <f t="shared" ref="N361" si="688">N362+N368+N371+N372+N373+N374+N375+N376+N377+N382+N383+N384+N389+N390</f>
        <v>0</v>
      </c>
      <c r="O361" s="77">
        <f t="shared" ref="O361" si="689">O362+O368+O371+O372+O373+O374+O375+O376+O377+O382+O383+O384+O389+O390</f>
        <v>0</v>
      </c>
      <c r="P361" s="77">
        <f t="shared" ref="P361" si="690">P362+P368+P371+P372+P373+P374+P375+P376+P377+P382+P383+P384+P389+P390</f>
        <v>0</v>
      </c>
    </row>
    <row r="362" spans="1:16" s="153" customFormat="1" hidden="1" x14ac:dyDescent="0.25">
      <c r="A362" s="46"/>
      <c r="B362" s="46" t="s">
        <v>74</v>
      </c>
      <c r="C362" s="76">
        <f t="shared" ref="C362" si="691">C363+C364+C366+C365+C367</f>
        <v>85683</v>
      </c>
      <c r="D362" s="76">
        <f t="shared" ref="D362:J362" si="692">D363+D364+D366+D365+D367</f>
        <v>85683</v>
      </c>
      <c r="E362" s="77">
        <f t="shared" si="692"/>
        <v>0</v>
      </c>
      <c r="F362" s="77">
        <f t="shared" si="692"/>
        <v>85683</v>
      </c>
      <c r="G362" s="76">
        <f t="shared" si="692"/>
        <v>0</v>
      </c>
      <c r="H362" s="77">
        <f t="shared" si="692"/>
        <v>0</v>
      </c>
      <c r="I362" s="77">
        <f t="shared" si="692"/>
        <v>0</v>
      </c>
      <c r="J362" s="76">
        <f t="shared" si="692"/>
        <v>5986</v>
      </c>
      <c r="K362" s="76">
        <f t="shared" ref="K362:P362" si="693">K363+K364+K366+K365+K367</f>
        <v>5986</v>
      </c>
      <c r="L362" s="77">
        <f t="shared" si="693"/>
        <v>0</v>
      </c>
      <c r="M362" s="77">
        <f t="shared" si="693"/>
        <v>5986</v>
      </c>
      <c r="N362" s="76">
        <f t="shared" si="693"/>
        <v>0</v>
      </c>
      <c r="O362" s="77">
        <f t="shared" si="693"/>
        <v>0</v>
      </c>
      <c r="P362" s="77">
        <f t="shared" si="693"/>
        <v>0</v>
      </c>
    </row>
    <row r="363" spans="1:16" ht="47.25" hidden="1" x14ac:dyDescent="0.25">
      <c r="B363" s="137" t="str">
        <f>+B94</f>
        <v>~ contributia personala pentru medicamentele acordate in tratamentul ambulatoriu persoanelor care beneficiaza de OUG 96/2024</v>
      </c>
      <c r="C363" s="77">
        <f t="shared" ref="C363:P363" si="694">C94</f>
        <v>28834</v>
      </c>
      <c r="D363" s="77">
        <f t="shared" si="694"/>
        <v>28834</v>
      </c>
      <c r="E363" s="77">
        <f t="shared" si="694"/>
        <v>0</v>
      </c>
      <c r="F363" s="77">
        <f t="shared" si="694"/>
        <v>28834</v>
      </c>
      <c r="G363" s="77">
        <f t="shared" si="694"/>
        <v>0</v>
      </c>
      <c r="H363" s="77">
        <f t="shared" si="694"/>
        <v>0</v>
      </c>
      <c r="I363" s="77">
        <f t="shared" si="694"/>
        <v>0</v>
      </c>
      <c r="J363" s="77">
        <f t="shared" si="694"/>
        <v>2692</v>
      </c>
      <c r="K363" s="77">
        <f t="shared" si="694"/>
        <v>2692</v>
      </c>
      <c r="L363" s="77">
        <f t="shared" si="694"/>
        <v>0</v>
      </c>
      <c r="M363" s="77">
        <f t="shared" si="694"/>
        <v>2692</v>
      </c>
      <c r="N363" s="77">
        <f t="shared" si="694"/>
        <v>0</v>
      </c>
      <c r="O363" s="77">
        <f t="shared" si="694"/>
        <v>0</v>
      </c>
      <c r="P363" s="77">
        <f t="shared" si="694"/>
        <v>0</v>
      </c>
    </row>
    <row r="364" spans="1:16" ht="78.75" hidden="1" x14ac:dyDescent="0.25">
      <c r="B364" s="137" t="str">
        <f>+B95</f>
        <v>~sume pentru punerea in aplicare a art.4 alin. (2) din OUG 96/2024  privind acordarea de sprijin şi asistenţă umanitară de către statul român cetăţenilor străini sau apatrizilor aflaţi în situaţii deosebite, proveniţi din zona conflictului armat din Ucraina</v>
      </c>
      <c r="C364" s="77">
        <f t="shared" ref="C364:P364" si="695">C95</f>
        <v>47619</v>
      </c>
      <c r="D364" s="77">
        <f t="shared" si="695"/>
        <v>47619</v>
      </c>
      <c r="E364" s="77">
        <f t="shared" si="695"/>
        <v>0</v>
      </c>
      <c r="F364" s="77">
        <f t="shared" si="695"/>
        <v>47619</v>
      </c>
      <c r="G364" s="77">
        <f t="shared" si="695"/>
        <v>0</v>
      </c>
      <c r="H364" s="77">
        <f t="shared" si="695"/>
        <v>0</v>
      </c>
      <c r="I364" s="77">
        <f t="shared" si="695"/>
        <v>0</v>
      </c>
      <c r="J364" s="77">
        <f t="shared" si="695"/>
        <v>2988</v>
      </c>
      <c r="K364" s="77">
        <f t="shared" si="695"/>
        <v>2988</v>
      </c>
      <c r="L364" s="77">
        <f t="shared" si="695"/>
        <v>0</v>
      </c>
      <c r="M364" s="77">
        <f t="shared" si="695"/>
        <v>2988</v>
      </c>
      <c r="N364" s="77">
        <f t="shared" si="695"/>
        <v>0</v>
      </c>
      <c r="O364" s="77">
        <f t="shared" si="695"/>
        <v>0</v>
      </c>
      <c r="P364" s="77">
        <f t="shared" si="695"/>
        <v>0</v>
      </c>
    </row>
    <row r="365" spans="1:16" hidden="1" x14ac:dyDescent="0.25">
      <c r="B365" s="110" t="s">
        <v>163</v>
      </c>
      <c r="C365" s="77">
        <f t="shared" ref="C365:P365" si="696">C101</f>
        <v>0</v>
      </c>
      <c r="D365" s="77">
        <f t="shared" si="696"/>
        <v>0</v>
      </c>
      <c r="E365" s="77">
        <f t="shared" si="696"/>
        <v>0</v>
      </c>
      <c r="F365" s="77">
        <f t="shared" si="696"/>
        <v>0</v>
      </c>
      <c r="G365" s="77">
        <f t="shared" si="696"/>
        <v>0</v>
      </c>
      <c r="H365" s="77">
        <f t="shared" si="696"/>
        <v>0</v>
      </c>
      <c r="I365" s="77">
        <f t="shared" si="696"/>
        <v>0</v>
      </c>
      <c r="J365" s="77">
        <f t="shared" si="696"/>
        <v>0</v>
      </c>
      <c r="K365" s="77">
        <f t="shared" si="696"/>
        <v>0</v>
      </c>
      <c r="L365" s="77">
        <f t="shared" si="696"/>
        <v>0</v>
      </c>
      <c r="M365" s="77">
        <f t="shared" si="696"/>
        <v>0</v>
      </c>
      <c r="N365" s="77">
        <f t="shared" si="696"/>
        <v>0</v>
      </c>
      <c r="O365" s="77">
        <f t="shared" si="696"/>
        <v>0</v>
      </c>
      <c r="P365" s="77">
        <f t="shared" si="696"/>
        <v>0</v>
      </c>
    </row>
    <row r="366" spans="1:16" hidden="1" x14ac:dyDescent="0.25">
      <c r="B366" s="110" t="s">
        <v>164</v>
      </c>
      <c r="C366" s="77">
        <f t="shared" ref="C366:P366" si="697">C105</f>
        <v>9230</v>
      </c>
      <c r="D366" s="77">
        <f t="shared" si="697"/>
        <v>9230</v>
      </c>
      <c r="E366" s="77">
        <f t="shared" si="697"/>
        <v>0</v>
      </c>
      <c r="F366" s="77">
        <f t="shared" si="697"/>
        <v>9230</v>
      </c>
      <c r="G366" s="77">
        <f t="shared" si="697"/>
        <v>0</v>
      </c>
      <c r="H366" s="77">
        <f t="shared" si="697"/>
        <v>0</v>
      </c>
      <c r="I366" s="77">
        <f t="shared" si="697"/>
        <v>0</v>
      </c>
      <c r="J366" s="77">
        <f t="shared" si="697"/>
        <v>306</v>
      </c>
      <c r="K366" s="77">
        <f t="shared" si="697"/>
        <v>306</v>
      </c>
      <c r="L366" s="77">
        <f t="shared" si="697"/>
        <v>0</v>
      </c>
      <c r="M366" s="77">
        <f t="shared" si="697"/>
        <v>306</v>
      </c>
      <c r="N366" s="77">
        <f t="shared" si="697"/>
        <v>0</v>
      </c>
      <c r="O366" s="77">
        <f t="shared" si="697"/>
        <v>0</v>
      </c>
      <c r="P366" s="77">
        <f t="shared" si="697"/>
        <v>0</v>
      </c>
    </row>
    <row r="367" spans="1:16" ht="78.75" hidden="1" x14ac:dyDescent="0.25">
      <c r="A367" s="117"/>
      <c r="B367" s="117" t="s">
        <v>79</v>
      </c>
      <c r="C367" s="77">
        <f t="shared" ref="C367:P367" si="698">+C98</f>
        <v>0</v>
      </c>
      <c r="D367" s="77">
        <f t="shared" si="698"/>
        <v>0</v>
      </c>
      <c r="E367" s="77">
        <f t="shared" si="698"/>
        <v>0</v>
      </c>
      <c r="F367" s="77">
        <f t="shared" si="698"/>
        <v>0</v>
      </c>
      <c r="G367" s="77">
        <f t="shared" si="698"/>
        <v>0</v>
      </c>
      <c r="H367" s="77">
        <f t="shared" si="698"/>
        <v>0</v>
      </c>
      <c r="I367" s="77">
        <f t="shared" si="698"/>
        <v>0</v>
      </c>
      <c r="J367" s="77">
        <f t="shared" si="698"/>
        <v>0</v>
      </c>
      <c r="K367" s="77">
        <f t="shared" si="698"/>
        <v>0</v>
      </c>
      <c r="L367" s="77">
        <f t="shared" si="698"/>
        <v>0</v>
      </c>
      <c r="M367" s="77">
        <f t="shared" si="698"/>
        <v>0</v>
      </c>
      <c r="N367" s="77">
        <f t="shared" si="698"/>
        <v>0</v>
      </c>
      <c r="O367" s="77">
        <f t="shared" si="698"/>
        <v>0</v>
      </c>
      <c r="P367" s="77">
        <f t="shared" si="698"/>
        <v>0</v>
      </c>
    </row>
    <row r="368" spans="1:16" s="153" customFormat="1" ht="31.5" hidden="1" x14ac:dyDescent="0.25">
      <c r="A368" s="135"/>
      <c r="B368" s="135" t="s">
        <v>165</v>
      </c>
      <c r="C368" s="76">
        <f>C369+C370</f>
        <v>1005310</v>
      </c>
      <c r="D368" s="76">
        <f t="shared" ref="D368:P368" si="699">D369+D370</f>
        <v>1005310</v>
      </c>
      <c r="E368" s="76">
        <f t="shared" si="699"/>
        <v>171850</v>
      </c>
      <c r="F368" s="76">
        <f t="shared" si="699"/>
        <v>833460</v>
      </c>
      <c r="G368" s="76">
        <f t="shared" si="699"/>
        <v>0</v>
      </c>
      <c r="H368" s="76">
        <f t="shared" si="699"/>
        <v>0</v>
      </c>
      <c r="I368" s="76">
        <f t="shared" si="699"/>
        <v>0</v>
      </c>
      <c r="J368" s="76">
        <f t="shared" si="699"/>
        <v>114860</v>
      </c>
      <c r="K368" s="76">
        <f t="shared" si="699"/>
        <v>114860</v>
      </c>
      <c r="L368" s="76">
        <f t="shared" si="699"/>
        <v>5981</v>
      </c>
      <c r="M368" s="76">
        <f t="shared" si="699"/>
        <v>108879</v>
      </c>
      <c r="N368" s="76">
        <f t="shared" si="699"/>
        <v>0</v>
      </c>
      <c r="O368" s="76">
        <f t="shared" si="699"/>
        <v>0</v>
      </c>
      <c r="P368" s="76">
        <f t="shared" si="699"/>
        <v>0</v>
      </c>
    </row>
    <row r="369" spans="1:16" ht="78.75" hidden="1" x14ac:dyDescent="0.25">
      <c r="B369" s="110" t="s">
        <v>77</v>
      </c>
      <c r="C369" s="77">
        <f>C114+C117+C120+C123+C126+C129+C132+C137</f>
        <v>658845</v>
      </c>
      <c r="D369" s="77">
        <f t="shared" ref="D369:P369" si="700">D114+D117+D120+D123+D126+D129+D132+D137</f>
        <v>658845</v>
      </c>
      <c r="E369" s="77">
        <f t="shared" si="700"/>
        <v>121219</v>
      </c>
      <c r="F369" s="77">
        <f t="shared" si="700"/>
        <v>537626</v>
      </c>
      <c r="G369" s="77">
        <f t="shared" si="700"/>
        <v>0</v>
      </c>
      <c r="H369" s="77">
        <f t="shared" si="700"/>
        <v>0</v>
      </c>
      <c r="I369" s="77">
        <f t="shared" si="700"/>
        <v>0</v>
      </c>
      <c r="J369" s="77">
        <f t="shared" si="700"/>
        <v>59646</v>
      </c>
      <c r="K369" s="77">
        <f t="shared" si="700"/>
        <v>59646</v>
      </c>
      <c r="L369" s="77">
        <f t="shared" si="700"/>
        <v>5981</v>
      </c>
      <c r="M369" s="77">
        <f t="shared" si="700"/>
        <v>53665</v>
      </c>
      <c r="N369" s="77">
        <f t="shared" si="700"/>
        <v>0</v>
      </c>
      <c r="O369" s="77">
        <f t="shared" si="700"/>
        <v>0</v>
      </c>
      <c r="P369" s="77">
        <f t="shared" si="700"/>
        <v>0</v>
      </c>
    </row>
    <row r="370" spans="1:16" hidden="1" x14ac:dyDescent="0.25">
      <c r="B370" s="110" t="s">
        <v>164</v>
      </c>
      <c r="C370" s="77">
        <f>C141+C147</f>
        <v>346465</v>
      </c>
      <c r="D370" s="77">
        <f t="shared" ref="D370:P370" si="701">D141+D147</f>
        <v>346465</v>
      </c>
      <c r="E370" s="77">
        <f t="shared" si="701"/>
        <v>50631</v>
      </c>
      <c r="F370" s="77">
        <f t="shared" si="701"/>
        <v>295834</v>
      </c>
      <c r="G370" s="77">
        <f t="shared" si="701"/>
        <v>0</v>
      </c>
      <c r="H370" s="77">
        <f t="shared" si="701"/>
        <v>0</v>
      </c>
      <c r="I370" s="77">
        <f t="shared" si="701"/>
        <v>0</v>
      </c>
      <c r="J370" s="77">
        <f t="shared" si="701"/>
        <v>55214</v>
      </c>
      <c r="K370" s="77">
        <f t="shared" si="701"/>
        <v>55214</v>
      </c>
      <c r="L370" s="77">
        <f t="shared" si="701"/>
        <v>0</v>
      </c>
      <c r="M370" s="77">
        <f t="shared" si="701"/>
        <v>55214</v>
      </c>
      <c r="N370" s="77">
        <f t="shared" si="701"/>
        <v>0</v>
      </c>
      <c r="O370" s="77">
        <f t="shared" si="701"/>
        <v>0</v>
      </c>
      <c r="P370" s="77">
        <f t="shared" si="701"/>
        <v>0</v>
      </c>
    </row>
    <row r="371" spans="1:16" s="153" customFormat="1" ht="31.5" hidden="1" x14ac:dyDescent="0.25">
      <c r="A371" s="135"/>
      <c r="B371" s="135" t="s">
        <v>85</v>
      </c>
      <c r="C371" s="76">
        <f>C156+C159+C162+C165+C170+C174+C178+C182</f>
        <v>17024</v>
      </c>
      <c r="D371" s="76">
        <f t="shared" ref="D371:P371" si="702">D156+D159+D162+D165+D170+D174+D178+D182</f>
        <v>17024</v>
      </c>
      <c r="E371" s="76">
        <f t="shared" si="702"/>
        <v>7200</v>
      </c>
      <c r="F371" s="76">
        <f t="shared" si="702"/>
        <v>9824</v>
      </c>
      <c r="G371" s="76">
        <f t="shared" si="702"/>
        <v>0</v>
      </c>
      <c r="H371" s="76">
        <f t="shared" si="702"/>
        <v>0</v>
      </c>
      <c r="I371" s="76">
        <f t="shared" si="702"/>
        <v>0</v>
      </c>
      <c r="J371" s="76">
        <f t="shared" si="702"/>
        <v>5292</v>
      </c>
      <c r="K371" s="76">
        <f t="shared" si="702"/>
        <v>5292</v>
      </c>
      <c r="L371" s="76">
        <f t="shared" si="702"/>
        <v>3600</v>
      </c>
      <c r="M371" s="76">
        <f t="shared" si="702"/>
        <v>1692</v>
      </c>
      <c r="N371" s="76">
        <f t="shared" si="702"/>
        <v>0</v>
      </c>
      <c r="O371" s="76">
        <f t="shared" si="702"/>
        <v>0</v>
      </c>
      <c r="P371" s="76">
        <f t="shared" si="702"/>
        <v>0</v>
      </c>
    </row>
    <row r="372" spans="1:16" s="153" customFormat="1" hidden="1" x14ac:dyDescent="0.25">
      <c r="A372" s="135"/>
      <c r="B372" s="135" t="s">
        <v>86</v>
      </c>
      <c r="C372" s="76">
        <f t="shared" ref="C372:P372" si="703">C187</f>
        <v>424473</v>
      </c>
      <c r="D372" s="76">
        <f t="shared" si="703"/>
        <v>424473</v>
      </c>
      <c r="E372" s="77">
        <f t="shared" si="703"/>
        <v>0</v>
      </c>
      <c r="F372" s="77">
        <f t="shared" si="703"/>
        <v>424473</v>
      </c>
      <c r="G372" s="76">
        <f t="shared" si="703"/>
        <v>0</v>
      </c>
      <c r="H372" s="77">
        <f t="shared" si="703"/>
        <v>0</v>
      </c>
      <c r="I372" s="77">
        <f t="shared" si="703"/>
        <v>0</v>
      </c>
      <c r="J372" s="76">
        <f t="shared" si="703"/>
        <v>51369</v>
      </c>
      <c r="K372" s="76">
        <f t="shared" si="703"/>
        <v>51369</v>
      </c>
      <c r="L372" s="77">
        <f t="shared" si="703"/>
        <v>0</v>
      </c>
      <c r="M372" s="77">
        <f t="shared" si="703"/>
        <v>51369</v>
      </c>
      <c r="N372" s="76">
        <f t="shared" si="703"/>
        <v>0</v>
      </c>
      <c r="O372" s="77">
        <f t="shared" si="703"/>
        <v>0</v>
      </c>
      <c r="P372" s="77">
        <f t="shared" si="703"/>
        <v>0</v>
      </c>
    </row>
    <row r="373" spans="1:16" s="153" customFormat="1" hidden="1" x14ac:dyDescent="0.25">
      <c r="A373" s="135"/>
      <c r="B373" s="135" t="s">
        <v>166</v>
      </c>
      <c r="C373" s="76">
        <f t="shared" ref="C373:P373" si="704">C192</f>
        <v>14753</v>
      </c>
      <c r="D373" s="76">
        <f t="shared" si="704"/>
        <v>14753</v>
      </c>
      <c r="E373" s="77">
        <f t="shared" si="704"/>
        <v>0</v>
      </c>
      <c r="F373" s="77">
        <f t="shared" si="704"/>
        <v>14753</v>
      </c>
      <c r="G373" s="76">
        <f t="shared" si="704"/>
        <v>0</v>
      </c>
      <c r="H373" s="77">
        <f t="shared" si="704"/>
        <v>0</v>
      </c>
      <c r="I373" s="77">
        <f t="shared" si="704"/>
        <v>0</v>
      </c>
      <c r="J373" s="76">
        <f t="shared" si="704"/>
        <v>249</v>
      </c>
      <c r="K373" s="76">
        <f t="shared" si="704"/>
        <v>249</v>
      </c>
      <c r="L373" s="77">
        <f t="shared" si="704"/>
        <v>0</v>
      </c>
      <c r="M373" s="77">
        <f t="shared" si="704"/>
        <v>249</v>
      </c>
      <c r="N373" s="76">
        <f t="shared" si="704"/>
        <v>0</v>
      </c>
      <c r="O373" s="77">
        <f t="shared" si="704"/>
        <v>0</v>
      </c>
      <c r="P373" s="77">
        <f t="shared" si="704"/>
        <v>0</v>
      </c>
    </row>
    <row r="374" spans="1:16" s="153" customFormat="1" hidden="1" x14ac:dyDescent="0.25">
      <c r="A374" s="135"/>
      <c r="B374" s="135" t="s">
        <v>167</v>
      </c>
      <c r="C374" s="76">
        <f t="shared" ref="C374:P374" si="705">C204</f>
        <v>25524</v>
      </c>
      <c r="D374" s="76">
        <f t="shared" si="705"/>
        <v>25524</v>
      </c>
      <c r="E374" s="77">
        <f t="shared" si="705"/>
        <v>0</v>
      </c>
      <c r="F374" s="77">
        <f t="shared" si="705"/>
        <v>25524</v>
      </c>
      <c r="G374" s="76">
        <f t="shared" si="705"/>
        <v>0</v>
      </c>
      <c r="H374" s="77">
        <f t="shared" si="705"/>
        <v>0</v>
      </c>
      <c r="I374" s="77">
        <f t="shared" si="705"/>
        <v>0</v>
      </c>
      <c r="J374" s="76">
        <f t="shared" si="705"/>
        <v>2375</v>
      </c>
      <c r="K374" s="76">
        <f t="shared" si="705"/>
        <v>2375</v>
      </c>
      <c r="L374" s="77">
        <f t="shared" si="705"/>
        <v>0</v>
      </c>
      <c r="M374" s="77">
        <f t="shared" si="705"/>
        <v>2375</v>
      </c>
      <c r="N374" s="76">
        <f t="shared" si="705"/>
        <v>0</v>
      </c>
      <c r="O374" s="77">
        <f t="shared" si="705"/>
        <v>0</v>
      </c>
      <c r="P374" s="77">
        <f t="shared" si="705"/>
        <v>0</v>
      </c>
    </row>
    <row r="375" spans="1:16" s="153" customFormat="1" hidden="1" x14ac:dyDescent="0.25">
      <c r="A375" s="135"/>
      <c r="B375" s="135" t="s">
        <v>168</v>
      </c>
      <c r="C375" s="76">
        <f t="shared" ref="C375:P375" si="706">C213</f>
        <v>18618</v>
      </c>
      <c r="D375" s="76">
        <f t="shared" si="706"/>
        <v>18618</v>
      </c>
      <c r="E375" s="77">
        <f t="shared" si="706"/>
        <v>16569</v>
      </c>
      <c r="F375" s="77">
        <f t="shared" si="706"/>
        <v>2049</v>
      </c>
      <c r="G375" s="76">
        <f t="shared" si="706"/>
        <v>0</v>
      </c>
      <c r="H375" s="77">
        <f t="shared" si="706"/>
        <v>0</v>
      </c>
      <c r="I375" s="77">
        <f t="shared" si="706"/>
        <v>0</v>
      </c>
      <c r="J375" s="76">
        <f t="shared" si="706"/>
        <v>1949</v>
      </c>
      <c r="K375" s="76">
        <f t="shared" si="706"/>
        <v>1949</v>
      </c>
      <c r="L375" s="77">
        <f t="shared" si="706"/>
        <v>1420</v>
      </c>
      <c r="M375" s="77">
        <f t="shared" si="706"/>
        <v>529</v>
      </c>
      <c r="N375" s="76">
        <f t="shared" si="706"/>
        <v>0</v>
      </c>
      <c r="O375" s="77">
        <f t="shared" si="706"/>
        <v>0</v>
      </c>
      <c r="P375" s="77">
        <f t="shared" si="706"/>
        <v>0</v>
      </c>
    </row>
    <row r="376" spans="1:16" s="153" customFormat="1" hidden="1" x14ac:dyDescent="0.25">
      <c r="A376" s="135"/>
      <c r="B376" s="135" t="s">
        <v>169</v>
      </c>
      <c r="C376" s="76">
        <f t="shared" ref="C376:P376" si="707">C221</f>
        <v>433979</v>
      </c>
      <c r="D376" s="76">
        <f t="shared" si="707"/>
        <v>433979</v>
      </c>
      <c r="E376" s="77">
        <f t="shared" si="707"/>
        <v>0</v>
      </c>
      <c r="F376" s="77">
        <f t="shared" si="707"/>
        <v>433979</v>
      </c>
      <c r="G376" s="76">
        <f t="shared" si="707"/>
        <v>0</v>
      </c>
      <c r="H376" s="77">
        <f t="shared" si="707"/>
        <v>0</v>
      </c>
      <c r="I376" s="77">
        <f t="shared" si="707"/>
        <v>0</v>
      </c>
      <c r="J376" s="76">
        <f t="shared" si="707"/>
        <v>18022</v>
      </c>
      <c r="K376" s="76">
        <f t="shared" si="707"/>
        <v>18022</v>
      </c>
      <c r="L376" s="77">
        <f t="shared" si="707"/>
        <v>0</v>
      </c>
      <c r="M376" s="77">
        <f t="shared" si="707"/>
        <v>18022</v>
      </c>
      <c r="N376" s="76">
        <f t="shared" si="707"/>
        <v>0</v>
      </c>
      <c r="O376" s="77">
        <f t="shared" si="707"/>
        <v>0</v>
      </c>
      <c r="P376" s="77">
        <f t="shared" si="707"/>
        <v>0</v>
      </c>
    </row>
    <row r="377" spans="1:16" s="153" customFormat="1" ht="31.5" hidden="1" x14ac:dyDescent="0.25">
      <c r="A377" s="135"/>
      <c r="B377" s="135" t="s">
        <v>170</v>
      </c>
      <c r="C377" s="76">
        <f t="shared" ref="C377" si="708">C378+C379+C380+C381</f>
        <v>29374</v>
      </c>
      <c r="D377" s="76">
        <f t="shared" ref="D377:J377" si="709">D378+D379+D380+D381</f>
        <v>29374</v>
      </c>
      <c r="E377" s="77">
        <f t="shared" si="709"/>
        <v>40</v>
      </c>
      <c r="F377" s="77">
        <f t="shared" si="709"/>
        <v>29334</v>
      </c>
      <c r="G377" s="76">
        <f t="shared" si="709"/>
        <v>0</v>
      </c>
      <c r="H377" s="77">
        <f t="shared" si="709"/>
        <v>0</v>
      </c>
      <c r="I377" s="77">
        <f t="shared" si="709"/>
        <v>0</v>
      </c>
      <c r="J377" s="76">
        <f t="shared" si="709"/>
        <v>121</v>
      </c>
      <c r="K377" s="76">
        <f t="shared" ref="K377:P377" si="710">K378+K379+K380+K381</f>
        <v>121</v>
      </c>
      <c r="L377" s="77">
        <f t="shared" si="710"/>
        <v>0</v>
      </c>
      <c r="M377" s="77">
        <f t="shared" si="710"/>
        <v>121</v>
      </c>
      <c r="N377" s="76">
        <f t="shared" si="710"/>
        <v>0</v>
      </c>
      <c r="O377" s="77">
        <f t="shared" si="710"/>
        <v>0</v>
      </c>
      <c r="P377" s="77">
        <f t="shared" si="710"/>
        <v>0</v>
      </c>
    </row>
    <row r="378" spans="1:16" hidden="1" x14ac:dyDescent="0.25">
      <c r="B378" s="110" t="s">
        <v>171</v>
      </c>
      <c r="C378" s="77">
        <f t="shared" ref="C378:P378" si="711">C231</f>
        <v>29374</v>
      </c>
      <c r="D378" s="77">
        <f t="shared" si="711"/>
        <v>29374</v>
      </c>
      <c r="E378" s="77">
        <f t="shared" si="711"/>
        <v>40</v>
      </c>
      <c r="F378" s="77">
        <f t="shared" si="711"/>
        <v>29334</v>
      </c>
      <c r="G378" s="77">
        <f t="shared" si="711"/>
        <v>0</v>
      </c>
      <c r="H378" s="77">
        <f t="shared" si="711"/>
        <v>0</v>
      </c>
      <c r="I378" s="77">
        <f t="shared" si="711"/>
        <v>0</v>
      </c>
      <c r="J378" s="77">
        <f t="shared" si="711"/>
        <v>121</v>
      </c>
      <c r="K378" s="77">
        <f t="shared" si="711"/>
        <v>121</v>
      </c>
      <c r="L378" s="77">
        <f t="shared" si="711"/>
        <v>0</v>
      </c>
      <c r="M378" s="77">
        <f t="shared" si="711"/>
        <v>121</v>
      </c>
      <c r="N378" s="77">
        <f t="shared" si="711"/>
        <v>0</v>
      </c>
      <c r="O378" s="77">
        <f t="shared" si="711"/>
        <v>0</v>
      </c>
      <c r="P378" s="77">
        <f t="shared" si="711"/>
        <v>0</v>
      </c>
    </row>
    <row r="379" spans="1:16" hidden="1" x14ac:dyDescent="0.25">
      <c r="B379" s="110" t="s">
        <v>172</v>
      </c>
      <c r="C379" s="77">
        <f t="shared" ref="C379:P379" si="712">C235</f>
        <v>0</v>
      </c>
      <c r="D379" s="77">
        <f t="shared" si="712"/>
        <v>0</v>
      </c>
      <c r="E379" s="77">
        <f t="shared" si="712"/>
        <v>0</v>
      </c>
      <c r="F379" s="77">
        <f t="shared" si="712"/>
        <v>0</v>
      </c>
      <c r="G379" s="77">
        <f t="shared" si="712"/>
        <v>0</v>
      </c>
      <c r="H379" s="77">
        <f t="shared" si="712"/>
        <v>0</v>
      </c>
      <c r="I379" s="77">
        <f t="shared" si="712"/>
        <v>0</v>
      </c>
      <c r="J379" s="77">
        <f t="shared" si="712"/>
        <v>0</v>
      </c>
      <c r="K379" s="77">
        <f t="shared" si="712"/>
        <v>0</v>
      </c>
      <c r="L379" s="77">
        <f t="shared" si="712"/>
        <v>0</v>
      </c>
      <c r="M379" s="77">
        <f t="shared" si="712"/>
        <v>0</v>
      </c>
      <c r="N379" s="77">
        <f t="shared" si="712"/>
        <v>0</v>
      </c>
      <c r="O379" s="77">
        <f t="shared" si="712"/>
        <v>0</v>
      </c>
      <c r="P379" s="77">
        <f t="shared" si="712"/>
        <v>0</v>
      </c>
    </row>
    <row r="380" spans="1:16" ht="31.5" hidden="1" x14ac:dyDescent="0.25">
      <c r="B380" s="110" t="s">
        <v>173</v>
      </c>
      <c r="C380" s="77">
        <f t="shared" ref="C380:P380" si="713">C238</f>
        <v>0</v>
      </c>
      <c r="D380" s="77">
        <f t="shared" si="713"/>
        <v>0</v>
      </c>
      <c r="E380" s="77">
        <f t="shared" si="713"/>
        <v>0</v>
      </c>
      <c r="F380" s="77">
        <f t="shared" si="713"/>
        <v>0</v>
      </c>
      <c r="G380" s="77">
        <f t="shared" si="713"/>
        <v>0</v>
      </c>
      <c r="H380" s="77">
        <f t="shared" si="713"/>
        <v>0</v>
      </c>
      <c r="I380" s="77">
        <f t="shared" si="713"/>
        <v>0</v>
      </c>
      <c r="J380" s="77">
        <f t="shared" si="713"/>
        <v>0</v>
      </c>
      <c r="K380" s="77">
        <f t="shared" si="713"/>
        <v>0</v>
      </c>
      <c r="L380" s="77">
        <f t="shared" si="713"/>
        <v>0</v>
      </c>
      <c r="M380" s="77">
        <f t="shared" si="713"/>
        <v>0</v>
      </c>
      <c r="N380" s="77">
        <f t="shared" si="713"/>
        <v>0</v>
      </c>
      <c r="O380" s="77">
        <f t="shared" si="713"/>
        <v>0</v>
      </c>
      <c r="P380" s="77">
        <f t="shared" si="713"/>
        <v>0</v>
      </c>
    </row>
    <row r="381" spans="1:16" hidden="1" x14ac:dyDescent="0.25">
      <c r="B381" s="110" t="s">
        <v>174</v>
      </c>
      <c r="C381" s="77">
        <f t="shared" ref="C381:P381" si="714">+C242</f>
        <v>0</v>
      </c>
      <c r="D381" s="77">
        <f t="shared" si="714"/>
        <v>0</v>
      </c>
      <c r="E381" s="77">
        <f t="shared" si="714"/>
        <v>0</v>
      </c>
      <c r="F381" s="77">
        <f t="shared" si="714"/>
        <v>0</v>
      </c>
      <c r="G381" s="77">
        <f t="shared" si="714"/>
        <v>0</v>
      </c>
      <c r="H381" s="77">
        <f t="shared" si="714"/>
        <v>0</v>
      </c>
      <c r="I381" s="77">
        <f t="shared" si="714"/>
        <v>0</v>
      </c>
      <c r="J381" s="77">
        <f t="shared" si="714"/>
        <v>0</v>
      </c>
      <c r="K381" s="77">
        <f t="shared" si="714"/>
        <v>0</v>
      </c>
      <c r="L381" s="77">
        <f t="shared" si="714"/>
        <v>0</v>
      </c>
      <c r="M381" s="77">
        <f t="shared" si="714"/>
        <v>0</v>
      </c>
      <c r="N381" s="77">
        <f t="shared" si="714"/>
        <v>0</v>
      </c>
      <c r="O381" s="77">
        <f t="shared" si="714"/>
        <v>0</v>
      </c>
      <c r="P381" s="77">
        <f t="shared" si="714"/>
        <v>0</v>
      </c>
    </row>
    <row r="382" spans="1:16" s="153" customFormat="1" hidden="1" x14ac:dyDescent="0.25">
      <c r="A382" s="135"/>
      <c r="B382" s="135" t="s">
        <v>175</v>
      </c>
      <c r="C382" s="76">
        <f t="shared" ref="C382:P382" si="715">C248</f>
        <v>2480</v>
      </c>
      <c r="D382" s="76">
        <f t="shared" si="715"/>
        <v>2480</v>
      </c>
      <c r="E382" s="77">
        <f t="shared" si="715"/>
        <v>0</v>
      </c>
      <c r="F382" s="77">
        <f t="shared" si="715"/>
        <v>2480</v>
      </c>
      <c r="G382" s="76">
        <f t="shared" si="715"/>
        <v>0</v>
      </c>
      <c r="H382" s="77">
        <f t="shared" si="715"/>
        <v>0</v>
      </c>
      <c r="I382" s="77">
        <f t="shared" si="715"/>
        <v>0</v>
      </c>
      <c r="J382" s="76">
        <f t="shared" si="715"/>
        <v>0</v>
      </c>
      <c r="K382" s="76">
        <f t="shared" si="715"/>
        <v>0</v>
      </c>
      <c r="L382" s="77">
        <f t="shared" si="715"/>
        <v>0</v>
      </c>
      <c r="M382" s="77">
        <f t="shared" si="715"/>
        <v>0</v>
      </c>
      <c r="N382" s="76">
        <f t="shared" si="715"/>
        <v>0</v>
      </c>
      <c r="O382" s="77">
        <f t="shared" si="715"/>
        <v>0</v>
      </c>
      <c r="P382" s="77">
        <f t="shared" si="715"/>
        <v>0</v>
      </c>
    </row>
    <row r="383" spans="1:16" s="153" customFormat="1" hidden="1" x14ac:dyDescent="0.25">
      <c r="A383" s="135"/>
      <c r="B383" s="135" t="s">
        <v>115</v>
      </c>
      <c r="C383" s="76">
        <f t="shared" ref="C383:P383" si="716">C254</f>
        <v>0</v>
      </c>
      <c r="D383" s="76">
        <f t="shared" si="716"/>
        <v>0</v>
      </c>
      <c r="E383" s="77">
        <f t="shared" si="716"/>
        <v>0</v>
      </c>
      <c r="F383" s="77">
        <f t="shared" si="716"/>
        <v>0</v>
      </c>
      <c r="G383" s="76">
        <f t="shared" si="716"/>
        <v>0</v>
      </c>
      <c r="H383" s="77">
        <f t="shared" si="716"/>
        <v>0</v>
      </c>
      <c r="I383" s="77">
        <f t="shared" si="716"/>
        <v>0</v>
      </c>
      <c r="J383" s="76">
        <f t="shared" si="716"/>
        <v>0</v>
      </c>
      <c r="K383" s="76">
        <f t="shared" si="716"/>
        <v>0</v>
      </c>
      <c r="L383" s="77">
        <f t="shared" si="716"/>
        <v>0</v>
      </c>
      <c r="M383" s="77">
        <f t="shared" si="716"/>
        <v>0</v>
      </c>
      <c r="N383" s="76">
        <f t="shared" si="716"/>
        <v>0</v>
      </c>
      <c r="O383" s="77">
        <f t="shared" si="716"/>
        <v>0</v>
      </c>
      <c r="P383" s="77">
        <f t="shared" si="716"/>
        <v>0</v>
      </c>
    </row>
    <row r="384" spans="1:16" s="153" customFormat="1" hidden="1" x14ac:dyDescent="0.25">
      <c r="A384" s="135"/>
      <c r="B384" s="135" t="s">
        <v>117</v>
      </c>
      <c r="C384" s="76">
        <f t="shared" ref="C384" si="717">C385+C386+C388+C387</f>
        <v>727832</v>
      </c>
      <c r="D384" s="76">
        <f t="shared" ref="D384:J384" si="718">D385+D386+D388+D387</f>
        <v>727832</v>
      </c>
      <c r="E384" s="77">
        <f t="shared" si="718"/>
        <v>714848</v>
      </c>
      <c r="F384" s="77">
        <f t="shared" si="718"/>
        <v>12984</v>
      </c>
      <c r="G384" s="76">
        <f t="shared" si="718"/>
        <v>0</v>
      </c>
      <c r="H384" s="77">
        <f t="shared" si="718"/>
        <v>0</v>
      </c>
      <c r="I384" s="77">
        <f t="shared" si="718"/>
        <v>0</v>
      </c>
      <c r="J384" s="76">
        <f t="shared" si="718"/>
        <v>79972</v>
      </c>
      <c r="K384" s="76">
        <f t="shared" ref="K384:P384" si="719">K385+K386+K388+K387</f>
        <v>79972</v>
      </c>
      <c r="L384" s="77">
        <f t="shared" si="719"/>
        <v>78625</v>
      </c>
      <c r="M384" s="77">
        <f t="shared" si="719"/>
        <v>1347</v>
      </c>
      <c r="N384" s="76">
        <f t="shared" si="719"/>
        <v>0</v>
      </c>
      <c r="O384" s="77">
        <f t="shared" si="719"/>
        <v>0</v>
      </c>
      <c r="P384" s="77">
        <f t="shared" si="719"/>
        <v>0</v>
      </c>
    </row>
    <row r="385" spans="1:16" ht="78.75" hidden="1" x14ac:dyDescent="0.25">
      <c r="B385" s="110" t="s">
        <v>77</v>
      </c>
      <c r="C385" s="77">
        <f t="shared" ref="C385:P385" si="720">C264</f>
        <v>719726</v>
      </c>
      <c r="D385" s="77">
        <f t="shared" si="720"/>
        <v>719726</v>
      </c>
      <c r="E385" s="77">
        <f t="shared" si="720"/>
        <v>706742</v>
      </c>
      <c r="F385" s="77">
        <f t="shared" si="720"/>
        <v>12984</v>
      </c>
      <c r="G385" s="77">
        <f t="shared" si="720"/>
        <v>0</v>
      </c>
      <c r="H385" s="77">
        <f t="shared" si="720"/>
        <v>0</v>
      </c>
      <c r="I385" s="77">
        <f t="shared" si="720"/>
        <v>0</v>
      </c>
      <c r="J385" s="77">
        <f t="shared" si="720"/>
        <v>79972</v>
      </c>
      <c r="K385" s="77">
        <f t="shared" si="720"/>
        <v>79972</v>
      </c>
      <c r="L385" s="77">
        <f t="shared" si="720"/>
        <v>78625</v>
      </c>
      <c r="M385" s="77">
        <f t="shared" si="720"/>
        <v>1347</v>
      </c>
      <c r="N385" s="77">
        <f t="shared" si="720"/>
        <v>0</v>
      </c>
      <c r="O385" s="77">
        <f t="shared" si="720"/>
        <v>0</v>
      </c>
      <c r="P385" s="77">
        <f t="shared" si="720"/>
        <v>0</v>
      </c>
    </row>
    <row r="386" spans="1:16" ht="63" hidden="1" x14ac:dyDescent="0.25">
      <c r="B386" s="110" t="s">
        <v>176</v>
      </c>
      <c r="C386" s="77">
        <f t="shared" ref="C386:P386" si="721">C271</f>
        <v>0</v>
      </c>
      <c r="D386" s="77">
        <f t="shared" si="721"/>
        <v>0</v>
      </c>
      <c r="E386" s="77">
        <f t="shared" si="721"/>
        <v>0</v>
      </c>
      <c r="F386" s="77">
        <f t="shared" si="721"/>
        <v>0</v>
      </c>
      <c r="G386" s="77">
        <f t="shared" si="721"/>
        <v>0</v>
      </c>
      <c r="H386" s="77">
        <f t="shared" si="721"/>
        <v>0</v>
      </c>
      <c r="I386" s="77">
        <f t="shared" si="721"/>
        <v>0</v>
      </c>
      <c r="J386" s="77">
        <f t="shared" si="721"/>
        <v>0</v>
      </c>
      <c r="K386" s="77">
        <f t="shared" si="721"/>
        <v>0</v>
      </c>
      <c r="L386" s="77">
        <f t="shared" si="721"/>
        <v>0</v>
      </c>
      <c r="M386" s="77">
        <f t="shared" si="721"/>
        <v>0</v>
      </c>
      <c r="N386" s="77">
        <f t="shared" si="721"/>
        <v>0</v>
      </c>
      <c r="O386" s="77">
        <f t="shared" si="721"/>
        <v>0</v>
      </c>
      <c r="P386" s="77">
        <f t="shared" si="721"/>
        <v>0</v>
      </c>
    </row>
    <row r="387" spans="1:16" ht="31.5" hidden="1" x14ac:dyDescent="0.25">
      <c r="B387" s="110" t="s">
        <v>120</v>
      </c>
      <c r="C387" s="77">
        <f t="shared" ref="C387:P387" si="722">C274</f>
        <v>0</v>
      </c>
      <c r="D387" s="77">
        <f t="shared" si="722"/>
        <v>0</v>
      </c>
      <c r="E387" s="77">
        <f t="shared" si="722"/>
        <v>0</v>
      </c>
      <c r="F387" s="77">
        <f t="shared" si="722"/>
        <v>0</v>
      </c>
      <c r="G387" s="77">
        <f t="shared" si="722"/>
        <v>0</v>
      </c>
      <c r="H387" s="77">
        <f t="shared" si="722"/>
        <v>0</v>
      </c>
      <c r="I387" s="77">
        <f t="shared" si="722"/>
        <v>0</v>
      </c>
      <c r="J387" s="77">
        <f t="shared" si="722"/>
        <v>0</v>
      </c>
      <c r="K387" s="77">
        <f t="shared" si="722"/>
        <v>0</v>
      </c>
      <c r="L387" s="77">
        <f t="shared" si="722"/>
        <v>0</v>
      </c>
      <c r="M387" s="77">
        <f t="shared" si="722"/>
        <v>0</v>
      </c>
      <c r="N387" s="77">
        <f t="shared" si="722"/>
        <v>0</v>
      </c>
      <c r="O387" s="77">
        <f t="shared" si="722"/>
        <v>0</v>
      </c>
      <c r="P387" s="77">
        <f t="shared" si="722"/>
        <v>0</v>
      </c>
    </row>
    <row r="388" spans="1:16" ht="31.5" hidden="1" x14ac:dyDescent="0.25">
      <c r="B388" s="110" t="s">
        <v>177</v>
      </c>
      <c r="C388" s="77">
        <f t="shared" ref="C388:P388" si="723">+C277</f>
        <v>8106</v>
      </c>
      <c r="D388" s="77">
        <f t="shared" si="723"/>
        <v>8106</v>
      </c>
      <c r="E388" s="77">
        <f t="shared" si="723"/>
        <v>8106</v>
      </c>
      <c r="F388" s="77">
        <f t="shared" si="723"/>
        <v>0</v>
      </c>
      <c r="G388" s="77">
        <f t="shared" si="723"/>
        <v>0</v>
      </c>
      <c r="H388" s="77">
        <f t="shared" si="723"/>
        <v>0</v>
      </c>
      <c r="I388" s="77">
        <f t="shared" si="723"/>
        <v>0</v>
      </c>
      <c r="J388" s="77">
        <f t="shared" si="723"/>
        <v>0</v>
      </c>
      <c r="K388" s="77">
        <f t="shared" si="723"/>
        <v>0</v>
      </c>
      <c r="L388" s="77">
        <f t="shared" si="723"/>
        <v>0</v>
      </c>
      <c r="M388" s="77">
        <f t="shared" si="723"/>
        <v>0</v>
      </c>
      <c r="N388" s="77">
        <f t="shared" si="723"/>
        <v>0</v>
      </c>
      <c r="O388" s="77">
        <f t="shared" si="723"/>
        <v>0</v>
      </c>
      <c r="P388" s="77">
        <f t="shared" si="723"/>
        <v>0</v>
      </c>
    </row>
    <row r="389" spans="1:16" hidden="1" x14ac:dyDescent="0.25">
      <c r="B389" s="110" t="s">
        <v>178</v>
      </c>
      <c r="C389" s="77">
        <f t="shared" ref="C389:P389" si="724">C285</f>
        <v>0</v>
      </c>
      <c r="D389" s="77">
        <f t="shared" si="724"/>
        <v>0</v>
      </c>
      <c r="E389" s="77">
        <f t="shared" si="724"/>
        <v>0</v>
      </c>
      <c r="F389" s="77">
        <f t="shared" si="724"/>
        <v>0</v>
      </c>
      <c r="G389" s="77">
        <f t="shared" si="724"/>
        <v>0</v>
      </c>
      <c r="H389" s="77">
        <f t="shared" si="724"/>
        <v>0</v>
      </c>
      <c r="I389" s="77">
        <f t="shared" si="724"/>
        <v>0</v>
      </c>
      <c r="J389" s="77">
        <f t="shared" si="724"/>
        <v>0</v>
      </c>
      <c r="K389" s="77">
        <f t="shared" si="724"/>
        <v>0</v>
      </c>
      <c r="L389" s="77">
        <f t="shared" si="724"/>
        <v>0</v>
      </c>
      <c r="M389" s="77">
        <f t="shared" si="724"/>
        <v>0</v>
      </c>
      <c r="N389" s="77">
        <f t="shared" si="724"/>
        <v>0</v>
      </c>
      <c r="O389" s="77">
        <f t="shared" si="724"/>
        <v>0</v>
      </c>
      <c r="P389" s="77">
        <f t="shared" si="724"/>
        <v>0</v>
      </c>
    </row>
    <row r="390" spans="1:16" hidden="1" x14ac:dyDescent="0.25">
      <c r="B390" s="110" t="s">
        <v>179</v>
      </c>
      <c r="C390" s="77">
        <f t="shared" ref="C390:P390" si="725">+C292</f>
        <v>6156</v>
      </c>
      <c r="D390" s="77">
        <f t="shared" si="725"/>
        <v>6156</v>
      </c>
      <c r="E390" s="77">
        <f t="shared" si="725"/>
        <v>0</v>
      </c>
      <c r="F390" s="77">
        <f t="shared" si="725"/>
        <v>6156</v>
      </c>
      <c r="G390" s="77">
        <f t="shared" si="725"/>
        <v>0</v>
      </c>
      <c r="H390" s="77">
        <f t="shared" si="725"/>
        <v>0</v>
      </c>
      <c r="I390" s="77">
        <f t="shared" si="725"/>
        <v>0</v>
      </c>
      <c r="J390" s="77">
        <f t="shared" si="725"/>
        <v>0</v>
      </c>
      <c r="K390" s="77">
        <f t="shared" si="725"/>
        <v>0</v>
      </c>
      <c r="L390" s="77">
        <f t="shared" si="725"/>
        <v>0</v>
      </c>
      <c r="M390" s="77">
        <f t="shared" si="725"/>
        <v>0</v>
      </c>
      <c r="N390" s="77">
        <f t="shared" si="725"/>
        <v>0</v>
      </c>
      <c r="O390" s="77">
        <f t="shared" si="725"/>
        <v>0</v>
      </c>
      <c r="P390" s="77">
        <f t="shared" si="725"/>
        <v>0</v>
      </c>
    </row>
    <row r="391" spans="1:16" s="153" customFormat="1" hidden="1" x14ac:dyDescent="0.25">
      <c r="A391" s="135"/>
      <c r="B391" s="135" t="s">
        <v>180</v>
      </c>
      <c r="C391" s="76">
        <f t="shared" ref="C391" si="726">+C392+C393</f>
        <v>0</v>
      </c>
      <c r="D391" s="76">
        <f t="shared" ref="D391:J391" si="727">+D392+D393</f>
        <v>0</v>
      </c>
      <c r="E391" s="77">
        <f t="shared" si="727"/>
        <v>0</v>
      </c>
      <c r="F391" s="77">
        <f t="shared" si="727"/>
        <v>0</v>
      </c>
      <c r="G391" s="76">
        <f t="shared" si="727"/>
        <v>0</v>
      </c>
      <c r="H391" s="77">
        <f t="shared" si="727"/>
        <v>0</v>
      </c>
      <c r="I391" s="77">
        <f t="shared" si="727"/>
        <v>0</v>
      </c>
      <c r="J391" s="76">
        <f t="shared" si="727"/>
        <v>0</v>
      </c>
      <c r="K391" s="76">
        <f t="shared" ref="K391:P391" si="728">+K392+K393</f>
        <v>0</v>
      </c>
      <c r="L391" s="77">
        <f t="shared" si="728"/>
        <v>0</v>
      </c>
      <c r="M391" s="77">
        <f t="shared" si="728"/>
        <v>0</v>
      </c>
      <c r="N391" s="76">
        <f t="shared" si="728"/>
        <v>0</v>
      </c>
      <c r="O391" s="77">
        <f t="shared" si="728"/>
        <v>0</v>
      </c>
      <c r="P391" s="77">
        <f t="shared" si="728"/>
        <v>0</v>
      </c>
    </row>
    <row r="392" spans="1:16" s="153" customFormat="1" hidden="1" x14ac:dyDescent="0.25">
      <c r="A392" s="110"/>
      <c r="B392" s="110" t="s">
        <v>181</v>
      </c>
      <c r="C392" s="77">
        <f t="shared" ref="C392:P392" si="729">+C265</f>
        <v>0</v>
      </c>
      <c r="D392" s="77">
        <f t="shared" si="729"/>
        <v>0</v>
      </c>
      <c r="E392" s="77">
        <f t="shared" si="729"/>
        <v>0</v>
      </c>
      <c r="F392" s="77">
        <f t="shared" si="729"/>
        <v>0</v>
      </c>
      <c r="G392" s="77">
        <f t="shared" si="729"/>
        <v>0</v>
      </c>
      <c r="H392" s="77">
        <f t="shared" si="729"/>
        <v>0</v>
      </c>
      <c r="I392" s="77">
        <f t="shared" si="729"/>
        <v>0</v>
      </c>
      <c r="J392" s="77">
        <f t="shared" si="729"/>
        <v>0</v>
      </c>
      <c r="K392" s="77">
        <f t="shared" si="729"/>
        <v>0</v>
      </c>
      <c r="L392" s="77">
        <f t="shared" si="729"/>
        <v>0</v>
      </c>
      <c r="M392" s="77">
        <f t="shared" si="729"/>
        <v>0</v>
      </c>
      <c r="N392" s="77">
        <f t="shared" si="729"/>
        <v>0</v>
      </c>
      <c r="O392" s="77">
        <f t="shared" si="729"/>
        <v>0</v>
      </c>
      <c r="P392" s="77">
        <f t="shared" si="729"/>
        <v>0</v>
      </c>
    </row>
    <row r="393" spans="1:16" s="153" customFormat="1" hidden="1" x14ac:dyDescent="0.25">
      <c r="A393" s="110"/>
      <c r="B393" s="110" t="s">
        <v>182</v>
      </c>
      <c r="C393" s="77">
        <f t="shared" ref="C393:P393" si="730">+C223</f>
        <v>0</v>
      </c>
      <c r="D393" s="77">
        <f t="shared" si="730"/>
        <v>0</v>
      </c>
      <c r="E393" s="77">
        <f t="shared" si="730"/>
        <v>0</v>
      </c>
      <c r="F393" s="77">
        <f t="shared" si="730"/>
        <v>0</v>
      </c>
      <c r="G393" s="77">
        <f t="shared" si="730"/>
        <v>0</v>
      </c>
      <c r="H393" s="77">
        <f t="shared" si="730"/>
        <v>0</v>
      </c>
      <c r="I393" s="77">
        <f t="shared" si="730"/>
        <v>0</v>
      </c>
      <c r="J393" s="77">
        <f t="shared" si="730"/>
        <v>0</v>
      </c>
      <c r="K393" s="77">
        <f t="shared" si="730"/>
        <v>0</v>
      </c>
      <c r="L393" s="77">
        <f t="shared" si="730"/>
        <v>0</v>
      </c>
      <c r="M393" s="77">
        <f t="shared" si="730"/>
        <v>0</v>
      </c>
      <c r="N393" s="77">
        <f t="shared" si="730"/>
        <v>0</v>
      </c>
      <c r="O393" s="77">
        <f t="shared" si="730"/>
        <v>0</v>
      </c>
      <c r="P393" s="77">
        <f t="shared" si="730"/>
        <v>0</v>
      </c>
    </row>
    <row r="394" spans="1:16" s="153" customFormat="1" ht="31.5" hidden="1" x14ac:dyDescent="0.25">
      <c r="A394" s="135"/>
      <c r="B394" s="135" t="s">
        <v>183</v>
      </c>
      <c r="C394" s="76">
        <f t="shared" ref="C394" si="731">C395+C396</f>
        <v>14030180</v>
      </c>
      <c r="D394" s="76">
        <f t="shared" ref="D394:J394" si="732">D395+D396</f>
        <v>12937382</v>
      </c>
      <c r="E394" s="77">
        <f t="shared" si="732"/>
        <v>12937382</v>
      </c>
      <c r="F394" s="77">
        <f t="shared" si="732"/>
        <v>0</v>
      </c>
      <c r="G394" s="76">
        <f t="shared" si="732"/>
        <v>1092798</v>
      </c>
      <c r="H394" s="77">
        <f t="shared" si="732"/>
        <v>1092798</v>
      </c>
      <c r="I394" s="77">
        <f t="shared" si="732"/>
        <v>0</v>
      </c>
      <c r="J394" s="76">
        <f t="shared" si="732"/>
        <v>955500</v>
      </c>
      <c r="K394" s="76">
        <f t="shared" ref="K394:P394" si="733">K395+K396</f>
        <v>955500</v>
      </c>
      <c r="L394" s="77">
        <f t="shared" si="733"/>
        <v>955500</v>
      </c>
      <c r="M394" s="77">
        <f t="shared" si="733"/>
        <v>0</v>
      </c>
      <c r="N394" s="76">
        <f t="shared" si="733"/>
        <v>0</v>
      </c>
      <c r="O394" s="77">
        <f t="shared" si="733"/>
        <v>0</v>
      </c>
      <c r="P394" s="77">
        <f t="shared" si="733"/>
        <v>0</v>
      </c>
    </row>
    <row r="395" spans="1:16" hidden="1" x14ac:dyDescent="0.25">
      <c r="B395" s="110" t="s">
        <v>181</v>
      </c>
      <c r="C395" s="77">
        <f t="shared" ref="C395:P395" si="734">C266</f>
        <v>14030180</v>
      </c>
      <c r="D395" s="77">
        <f t="shared" si="734"/>
        <v>12937382</v>
      </c>
      <c r="E395" s="77">
        <f t="shared" si="734"/>
        <v>12937382</v>
      </c>
      <c r="F395" s="77">
        <f t="shared" si="734"/>
        <v>0</v>
      </c>
      <c r="G395" s="77">
        <f t="shared" si="734"/>
        <v>1092798</v>
      </c>
      <c r="H395" s="77">
        <f t="shared" si="734"/>
        <v>1092798</v>
      </c>
      <c r="I395" s="77">
        <f t="shared" si="734"/>
        <v>0</v>
      </c>
      <c r="J395" s="77">
        <f t="shared" si="734"/>
        <v>955500</v>
      </c>
      <c r="K395" s="77">
        <f t="shared" si="734"/>
        <v>955500</v>
      </c>
      <c r="L395" s="77">
        <f t="shared" si="734"/>
        <v>955500</v>
      </c>
      <c r="M395" s="77">
        <f t="shared" si="734"/>
        <v>0</v>
      </c>
      <c r="N395" s="77">
        <f t="shared" si="734"/>
        <v>0</v>
      </c>
      <c r="O395" s="77">
        <f t="shared" si="734"/>
        <v>0</v>
      </c>
      <c r="P395" s="77">
        <f t="shared" si="734"/>
        <v>0</v>
      </c>
    </row>
    <row r="396" spans="1:16" hidden="1" x14ac:dyDescent="0.25">
      <c r="B396" s="110" t="s">
        <v>184</v>
      </c>
      <c r="C396" s="77">
        <f t="shared" ref="C396:P396" si="735">C286</f>
        <v>0</v>
      </c>
      <c r="D396" s="77">
        <f t="shared" si="735"/>
        <v>0</v>
      </c>
      <c r="E396" s="77">
        <f t="shared" si="735"/>
        <v>0</v>
      </c>
      <c r="F396" s="77">
        <f t="shared" si="735"/>
        <v>0</v>
      </c>
      <c r="G396" s="77">
        <f t="shared" si="735"/>
        <v>0</v>
      </c>
      <c r="H396" s="77">
        <f t="shared" si="735"/>
        <v>0</v>
      </c>
      <c r="I396" s="77">
        <f t="shared" si="735"/>
        <v>0</v>
      </c>
      <c r="J396" s="77">
        <f t="shared" si="735"/>
        <v>0</v>
      </c>
      <c r="K396" s="77">
        <f t="shared" si="735"/>
        <v>0</v>
      </c>
      <c r="L396" s="77">
        <f t="shared" si="735"/>
        <v>0</v>
      </c>
      <c r="M396" s="77">
        <f t="shared" si="735"/>
        <v>0</v>
      </c>
      <c r="N396" s="77">
        <f t="shared" si="735"/>
        <v>0</v>
      </c>
      <c r="O396" s="77">
        <f t="shared" si="735"/>
        <v>0</v>
      </c>
      <c r="P396" s="77">
        <f t="shared" si="735"/>
        <v>0</v>
      </c>
    </row>
    <row r="397" spans="1:16" s="153" customFormat="1" hidden="1" x14ac:dyDescent="0.25">
      <c r="A397" s="135"/>
      <c r="B397" s="135" t="s">
        <v>185</v>
      </c>
      <c r="C397" s="76">
        <f t="shared" ref="C397" si="736">+C398+C399+C400+C401+C402+C403+C404+C405</f>
        <v>2098003</v>
      </c>
      <c r="D397" s="76">
        <f t="shared" ref="D397:J397" si="737">+D398+D399+D400+D401+D402+D403+D404+D405</f>
        <v>2098003</v>
      </c>
      <c r="E397" s="77">
        <f t="shared" si="737"/>
        <v>2098003</v>
      </c>
      <c r="F397" s="77">
        <f t="shared" si="737"/>
        <v>0</v>
      </c>
      <c r="G397" s="76">
        <f t="shared" si="737"/>
        <v>0</v>
      </c>
      <c r="H397" s="77">
        <f t="shared" si="737"/>
        <v>0</v>
      </c>
      <c r="I397" s="77">
        <f t="shared" si="737"/>
        <v>0</v>
      </c>
      <c r="J397" s="76">
        <f t="shared" si="737"/>
        <v>0</v>
      </c>
      <c r="K397" s="76">
        <f t="shared" ref="K397:P397" si="738">+K398+K399+K400+K401+K402+K403+K404+K405</f>
        <v>0</v>
      </c>
      <c r="L397" s="77">
        <f t="shared" si="738"/>
        <v>0</v>
      </c>
      <c r="M397" s="77">
        <f t="shared" si="738"/>
        <v>0</v>
      </c>
      <c r="N397" s="76">
        <f t="shared" si="738"/>
        <v>0</v>
      </c>
      <c r="O397" s="77">
        <f t="shared" si="738"/>
        <v>0</v>
      </c>
      <c r="P397" s="77">
        <f t="shared" si="738"/>
        <v>0</v>
      </c>
    </row>
    <row r="398" spans="1:16" hidden="1" x14ac:dyDescent="0.25">
      <c r="B398" s="110" t="s">
        <v>181</v>
      </c>
      <c r="C398" s="77">
        <f t="shared" ref="C398:P398" si="739">+C267</f>
        <v>2098003</v>
      </c>
      <c r="D398" s="77">
        <f t="shared" si="739"/>
        <v>2098003</v>
      </c>
      <c r="E398" s="77">
        <f t="shared" si="739"/>
        <v>2098003</v>
      </c>
      <c r="F398" s="77">
        <f t="shared" si="739"/>
        <v>0</v>
      </c>
      <c r="G398" s="77">
        <f t="shared" si="739"/>
        <v>0</v>
      </c>
      <c r="H398" s="77">
        <f t="shared" si="739"/>
        <v>0</v>
      </c>
      <c r="I398" s="77">
        <f t="shared" si="739"/>
        <v>0</v>
      </c>
      <c r="J398" s="77">
        <f t="shared" si="739"/>
        <v>0</v>
      </c>
      <c r="K398" s="77">
        <f t="shared" si="739"/>
        <v>0</v>
      </c>
      <c r="L398" s="77">
        <f t="shared" si="739"/>
        <v>0</v>
      </c>
      <c r="M398" s="77">
        <f t="shared" si="739"/>
        <v>0</v>
      </c>
      <c r="N398" s="77">
        <f t="shared" si="739"/>
        <v>0</v>
      </c>
      <c r="O398" s="77">
        <f t="shared" si="739"/>
        <v>0</v>
      </c>
      <c r="P398" s="77">
        <f t="shared" si="739"/>
        <v>0</v>
      </c>
    </row>
    <row r="399" spans="1:16" hidden="1" x14ac:dyDescent="0.25">
      <c r="B399" s="110" t="s">
        <v>184</v>
      </c>
      <c r="C399" s="77">
        <f t="shared" ref="C399:P399" si="740">+C287</f>
        <v>0</v>
      </c>
      <c r="D399" s="77">
        <f t="shared" si="740"/>
        <v>0</v>
      </c>
      <c r="E399" s="77">
        <f t="shared" si="740"/>
        <v>0</v>
      </c>
      <c r="F399" s="77">
        <f t="shared" si="740"/>
        <v>0</v>
      </c>
      <c r="G399" s="77">
        <f t="shared" si="740"/>
        <v>0</v>
      </c>
      <c r="H399" s="77">
        <f t="shared" si="740"/>
        <v>0</v>
      </c>
      <c r="I399" s="77">
        <f t="shared" si="740"/>
        <v>0</v>
      </c>
      <c r="J399" s="77">
        <f t="shared" si="740"/>
        <v>0</v>
      </c>
      <c r="K399" s="77">
        <f t="shared" si="740"/>
        <v>0</v>
      </c>
      <c r="L399" s="77">
        <f t="shared" si="740"/>
        <v>0</v>
      </c>
      <c r="M399" s="77">
        <f t="shared" si="740"/>
        <v>0</v>
      </c>
      <c r="N399" s="77">
        <f t="shared" si="740"/>
        <v>0</v>
      </c>
      <c r="O399" s="77">
        <f t="shared" si="740"/>
        <v>0</v>
      </c>
      <c r="P399" s="77">
        <f t="shared" si="740"/>
        <v>0</v>
      </c>
    </row>
    <row r="400" spans="1:16" hidden="1" x14ac:dyDescent="0.25">
      <c r="B400" s="110" t="s">
        <v>186</v>
      </c>
      <c r="C400" s="77">
        <f t="shared" ref="C400:P400" si="741">+C188</f>
        <v>0</v>
      </c>
      <c r="D400" s="77">
        <f t="shared" si="741"/>
        <v>0</v>
      </c>
      <c r="E400" s="77">
        <f t="shared" si="741"/>
        <v>0</v>
      </c>
      <c r="F400" s="77">
        <f t="shared" si="741"/>
        <v>0</v>
      </c>
      <c r="G400" s="77">
        <f t="shared" si="741"/>
        <v>0</v>
      </c>
      <c r="H400" s="77">
        <f t="shared" si="741"/>
        <v>0</v>
      </c>
      <c r="I400" s="77">
        <f t="shared" si="741"/>
        <v>0</v>
      </c>
      <c r="J400" s="77">
        <f t="shared" si="741"/>
        <v>0</v>
      </c>
      <c r="K400" s="77">
        <f t="shared" si="741"/>
        <v>0</v>
      </c>
      <c r="L400" s="77">
        <f t="shared" si="741"/>
        <v>0</v>
      </c>
      <c r="M400" s="77">
        <f t="shared" si="741"/>
        <v>0</v>
      </c>
      <c r="N400" s="77">
        <f t="shared" si="741"/>
        <v>0</v>
      </c>
      <c r="O400" s="77">
        <f t="shared" si="741"/>
        <v>0</v>
      </c>
      <c r="P400" s="77">
        <f t="shared" si="741"/>
        <v>0</v>
      </c>
    </row>
    <row r="401" spans="1:16" hidden="1" x14ac:dyDescent="0.25">
      <c r="B401" s="110" t="s">
        <v>187</v>
      </c>
      <c r="C401" s="77">
        <f t="shared" ref="C401:P401" si="742">+C206</f>
        <v>0</v>
      </c>
      <c r="D401" s="77">
        <f t="shared" si="742"/>
        <v>0</v>
      </c>
      <c r="E401" s="77">
        <f t="shared" si="742"/>
        <v>0</v>
      </c>
      <c r="F401" s="77">
        <f t="shared" si="742"/>
        <v>0</v>
      </c>
      <c r="G401" s="77">
        <f t="shared" si="742"/>
        <v>0</v>
      </c>
      <c r="H401" s="77">
        <f t="shared" si="742"/>
        <v>0</v>
      </c>
      <c r="I401" s="77">
        <f t="shared" si="742"/>
        <v>0</v>
      </c>
      <c r="J401" s="77">
        <f t="shared" si="742"/>
        <v>0</v>
      </c>
      <c r="K401" s="77">
        <f t="shared" si="742"/>
        <v>0</v>
      </c>
      <c r="L401" s="77">
        <f t="shared" si="742"/>
        <v>0</v>
      </c>
      <c r="M401" s="77">
        <f t="shared" si="742"/>
        <v>0</v>
      </c>
      <c r="N401" s="77">
        <f t="shared" si="742"/>
        <v>0</v>
      </c>
      <c r="O401" s="77">
        <f t="shared" si="742"/>
        <v>0</v>
      </c>
      <c r="P401" s="77">
        <f t="shared" si="742"/>
        <v>0</v>
      </c>
    </row>
    <row r="402" spans="1:16" hidden="1" x14ac:dyDescent="0.25">
      <c r="B402" s="110" t="s">
        <v>188</v>
      </c>
      <c r="C402" s="77">
        <f t="shared" ref="C402:P402" si="743">+C214</f>
        <v>0</v>
      </c>
      <c r="D402" s="77">
        <f t="shared" si="743"/>
        <v>0</v>
      </c>
      <c r="E402" s="77">
        <f t="shared" si="743"/>
        <v>0</v>
      </c>
      <c r="F402" s="77">
        <f t="shared" si="743"/>
        <v>0</v>
      </c>
      <c r="G402" s="77">
        <f t="shared" si="743"/>
        <v>0</v>
      </c>
      <c r="H402" s="77">
        <f t="shared" si="743"/>
        <v>0</v>
      </c>
      <c r="I402" s="77">
        <f t="shared" si="743"/>
        <v>0</v>
      </c>
      <c r="J402" s="77">
        <f t="shared" si="743"/>
        <v>0</v>
      </c>
      <c r="K402" s="77">
        <f t="shared" si="743"/>
        <v>0</v>
      </c>
      <c r="L402" s="77">
        <f t="shared" si="743"/>
        <v>0</v>
      </c>
      <c r="M402" s="77">
        <f t="shared" si="743"/>
        <v>0</v>
      </c>
      <c r="N402" s="77">
        <f t="shared" si="743"/>
        <v>0</v>
      </c>
      <c r="O402" s="77">
        <f t="shared" si="743"/>
        <v>0</v>
      </c>
      <c r="P402" s="77">
        <f t="shared" si="743"/>
        <v>0</v>
      </c>
    </row>
    <row r="403" spans="1:16" hidden="1" x14ac:dyDescent="0.25">
      <c r="B403" s="110" t="s">
        <v>182</v>
      </c>
      <c r="C403" s="77">
        <f t="shared" ref="C403:P403" si="744">+C222</f>
        <v>0</v>
      </c>
      <c r="D403" s="77">
        <f t="shared" si="744"/>
        <v>0</v>
      </c>
      <c r="E403" s="77">
        <f t="shared" si="744"/>
        <v>0</v>
      </c>
      <c r="F403" s="77">
        <f t="shared" si="744"/>
        <v>0</v>
      </c>
      <c r="G403" s="77">
        <f t="shared" si="744"/>
        <v>0</v>
      </c>
      <c r="H403" s="77">
        <f t="shared" si="744"/>
        <v>0</v>
      </c>
      <c r="I403" s="77">
        <f t="shared" si="744"/>
        <v>0</v>
      </c>
      <c r="J403" s="77">
        <f t="shared" si="744"/>
        <v>0</v>
      </c>
      <c r="K403" s="77">
        <f t="shared" si="744"/>
        <v>0</v>
      </c>
      <c r="L403" s="77">
        <f t="shared" si="744"/>
        <v>0</v>
      </c>
      <c r="M403" s="77">
        <f t="shared" si="744"/>
        <v>0</v>
      </c>
      <c r="N403" s="77">
        <f t="shared" si="744"/>
        <v>0</v>
      </c>
      <c r="O403" s="77">
        <f t="shared" si="744"/>
        <v>0</v>
      </c>
      <c r="P403" s="77">
        <f t="shared" si="744"/>
        <v>0</v>
      </c>
    </row>
    <row r="404" spans="1:16" hidden="1" x14ac:dyDescent="0.25">
      <c r="B404" s="110" t="s">
        <v>189</v>
      </c>
      <c r="C404" s="77">
        <f t="shared" ref="C404:P404" si="745">+C232</f>
        <v>0</v>
      </c>
      <c r="D404" s="77">
        <f t="shared" si="745"/>
        <v>0</v>
      </c>
      <c r="E404" s="77">
        <f t="shared" si="745"/>
        <v>0</v>
      </c>
      <c r="F404" s="77">
        <f t="shared" si="745"/>
        <v>0</v>
      </c>
      <c r="G404" s="77">
        <f t="shared" si="745"/>
        <v>0</v>
      </c>
      <c r="H404" s="77">
        <f t="shared" si="745"/>
        <v>0</v>
      </c>
      <c r="I404" s="77">
        <f t="shared" si="745"/>
        <v>0</v>
      </c>
      <c r="J404" s="77">
        <f t="shared" si="745"/>
        <v>0</v>
      </c>
      <c r="K404" s="77">
        <f t="shared" si="745"/>
        <v>0</v>
      </c>
      <c r="L404" s="77">
        <f t="shared" si="745"/>
        <v>0</v>
      </c>
      <c r="M404" s="77">
        <f t="shared" si="745"/>
        <v>0</v>
      </c>
      <c r="N404" s="77">
        <f t="shared" si="745"/>
        <v>0</v>
      </c>
      <c r="O404" s="77">
        <f t="shared" si="745"/>
        <v>0</v>
      </c>
      <c r="P404" s="77">
        <f t="shared" si="745"/>
        <v>0</v>
      </c>
    </row>
    <row r="405" spans="1:16" hidden="1" x14ac:dyDescent="0.25">
      <c r="B405" s="110" t="s">
        <v>190</v>
      </c>
      <c r="C405" s="77">
        <f t="shared" ref="C405:P405" si="746">+C249</f>
        <v>0</v>
      </c>
      <c r="D405" s="77">
        <f t="shared" si="746"/>
        <v>0</v>
      </c>
      <c r="E405" s="77">
        <f t="shared" si="746"/>
        <v>0</v>
      </c>
      <c r="F405" s="77">
        <f t="shared" si="746"/>
        <v>0</v>
      </c>
      <c r="G405" s="77">
        <f t="shared" si="746"/>
        <v>0</v>
      </c>
      <c r="H405" s="77">
        <f t="shared" si="746"/>
        <v>0</v>
      </c>
      <c r="I405" s="77">
        <f t="shared" si="746"/>
        <v>0</v>
      </c>
      <c r="J405" s="77">
        <f t="shared" si="746"/>
        <v>0</v>
      </c>
      <c r="K405" s="77">
        <f t="shared" si="746"/>
        <v>0</v>
      </c>
      <c r="L405" s="77">
        <f t="shared" si="746"/>
        <v>0</v>
      </c>
      <c r="M405" s="77">
        <f t="shared" si="746"/>
        <v>0</v>
      </c>
      <c r="N405" s="77">
        <f t="shared" si="746"/>
        <v>0</v>
      </c>
      <c r="O405" s="77">
        <f t="shared" si="746"/>
        <v>0</v>
      </c>
      <c r="P405" s="77">
        <f t="shared" si="746"/>
        <v>0</v>
      </c>
    </row>
    <row r="406" spans="1:16" ht="78.75" hidden="1" x14ac:dyDescent="0.25">
      <c r="A406" s="135"/>
      <c r="B406" s="135" t="s">
        <v>191</v>
      </c>
      <c r="C406" s="78">
        <f t="shared" ref="C406:P406" si="747">+C97</f>
        <v>4827930</v>
      </c>
      <c r="D406" s="78">
        <f t="shared" si="747"/>
        <v>4580858</v>
      </c>
      <c r="E406" s="78">
        <f t="shared" si="747"/>
        <v>0</v>
      </c>
      <c r="F406" s="78">
        <f t="shared" si="747"/>
        <v>4580858</v>
      </c>
      <c r="G406" s="78">
        <f t="shared" si="747"/>
        <v>247072</v>
      </c>
      <c r="H406" s="78">
        <f t="shared" si="747"/>
        <v>0</v>
      </c>
      <c r="I406" s="78">
        <f t="shared" si="747"/>
        <v>247072</v>
      </c>
      <c r="J406" s="78">
        <f t="shared" si="747"/>
        <v>2516420</v>
      </c>
      <c r="K406" s="78">
        <f t="shared" si="747"/>
        <v>2516420</v>
      </c>
      <c r="L406" s="78">
        <f t="shared" si="747"/>
        <v>0</v>
      </c>
      <c r="M406" s="78">
        <f t="shared" si="747"/>
        <v>2516420</v>
      </c>
      <c r="N406" s="78">
        <f t="shared" si="747"/>
        <v>0</v>
      </c>
      <c r="O406" s="78">
        <f t="shared" si="747"/>
        <v>0</v>
      </c>
      <c r="P406" s="78">
        <f t="shared" si="747"/>
        <v>0</v>
      </c>
    </row>
    <row r="407" spans="1:16" hidden="1" x14ac:dyDescent="0.25">
      <c r="A407" s="135"/>
      <c r="B407" s="135" t="s">
        <v>192</v>
      </c>
      <c r="C407" s="78">
        <f t="shared" ref="C407" si="748">+C408+C409+C410+C411</f>
        <v>65</v>
      </c>
      <c r="D407" s="78">
        <f t="shared" ref="D407:J407" si="749">+D408+D409+D410+D411</f>
        <v>65</v>
      </c>
      <c r="E407" s="78">
        <f t="shared" si="749"/>
        <v>0</v>
      </c>
      <c r="F407" s="78">
        <f t="shared" si="749"/>
        <v>65</v>
      </c>
      <c r="G407" s="78">
        <f t="shared" si="749"/>
        <v>0</v>
      </c>
      <c r="H407" s="78">
        <f t="shared" si="749"/>
        <v>0</v>
      </c>
      <c r="I407" s="78">
        <f t="shared" si="749"/>
        <v>0</v>
      </c>
      <c r="J407" s="78">
        <f t="shared" si="749"/>
        <v>0</v>
      </c>
      <c r="K407" s="78">
        <f t="shared" ref="K407:P407" si="750">+K408+K409+K410+K411</f>
        <v>0</v>
      </c>
      <c r="L407" s="78">
        <f t="shared" si="750"/>
        <v>0</v>
      </c>
      <c r="M407" s="78">
        <f t="shared" si="750"/>
        <v>0</v>
      </c>
      <c r="N407" s="78">
        <f t="shared" si="750"/>
        <v>0</v>
      </c>
      <c r="O407" s="78">
        <f t="shared" si="750"/>
        <v>0</v>
      </c>
      <c r="P407" s="78">
        <f t="shared" si="750"/>
        <v>0</v>
      </c>
    </row>
    <row r="408" spans="1:16" hidden="1" x14ac:dyDescent="0.25">
      <c r="A408" s="135"/>
      <c r="B408" s="135" t="s">
        <v>193</v>
      </c>
      <c r="C408" s="78">
        <f t="shared" ref="C408:P408" si="751">+C212</f>
        <v>0</v>
      </c>
      <c r="D408" s="78">
        <f t="shared" si="751"/>
        <v>0</v>
      </c>
      <c r="E408" s="78">
        <f t="shared" si="751"/>
        <v>0</v>
      </c>
      <c r="F408" s="78">
        <f t="shared" si="751"/>
        <v>0</v>
      </c>
      <c r="G408" s="78">
        <f t="shared" si="751"/>
        <v>0</v>
      </c>
      <c r="H408" s="78">
        <f t="shared" si="751"/>
        <v>0</v>
      </c>
      <c r="I408" s="78">
        <f t="shared" si="751"/>
        <v>0</v>
      </c>
      <c r="J408" s="78">
        <f t="shared" si="751"/>
        <v>0</v>
      </c>
      <c r="K408" s="78">
        <f t="shared" si="751"/>
        <v>0</v>
      </c>
      <c r="L408" s="78">
        <f t="shared" si="751"/>
        <v>0</v>
      </c>
      <c r="M408" s="78">
        <f t="shared" si="751"/>
        <v>0</v>
      </c>
      <c r="N408" s="78">
        <f t="shared" si="751"/>
        <v>0</v>
      </c>
      <c r="O408" s="78">
        <f t="shared" si="751"/>
        <v>0</v>
      </c>
      <c r="P408" s="78">
        <f t="shared" si="751"/>
        <v>0</v>
      </c>
    </row>
    <row r="409" spans="1:16" hidden="1" x14ac:dyDescent="0.25">
      <c r="A409" s="135"/>
      <c r="B409" s="135" t="s">
        <v>194</v>
      </c>
      <c r="C409" s="78">
        <f t="shared" ref="C409:P409" si="752">+C229</f>
        <v>65</v>
      </c>
      <c r="D409" s="78">
        <f t="shared" si="752"/>
        <v>65</v>
      </c>
      <c r="E409" s="78">
        <f t="shared" si="752"/>
        <v>0</v>
      </c>
      <c r="F409" s="78">
        <f t="shared" si="752"/>
        <v>65</v>
      </c>
      <c r="G409" s="78">
        <f t="shared" si="752"/>
        <v>0</v>
      </c>
      <c r="H409" s="78">
        <f t="shared" si="752"/>
        <v>0</v>
      </c>
      <c r="I409" s="78">
        <f t="shared" si="752"/>
        <v>0</v>
      </c>
      <c r="J409" s="78">
        <f t="shared" si="752"/>
        <v>0</v>
      </c>
      <c r="K409" s="78">
        <f t="shared" si="752"/>
        <v>0</v>
      </c>
      <c r="L409" s="78">
        <f t="shared" si="752"/>
        <v>0</v>
      </c>
      <c r="M409" s="78">
        <f t="shared" si="752"/>
        <v>0</v>
      </c>
      <c r="N409" s="78">
        <f t="shared" si="752"/>
        <v>0</v>
      </c>
      <c r="O409" s="78">
        <f t="shared" si="752"/>
        <v>0</v>
      </c>
      <c r="P409" s="78">
        <f t="shared" si="752"/>
        <v>0</v>
      </c>
    </row>
    <row r="410" spans="1:16" hidden="1" x14ac:dyDescent="0.25">
      <c r="A410" s="135"/>
      <c r="B410" s="135" t="s">
        <v>195</v>
      </c>
      <c r="C410" s="78">
        <f t="shared" ref="C410:P410" si="753">+C263</f>
        <v>0</v>
      </c>
      <c r="D410" s="78">
        <f t="shared" si="753"/>
        <v>0</v>
      </c>
      <c r="E410" s="78">
        <f t="shared" si="753"/>
        <v>0</v>
      </c>
      <c r="F410" s="78">
        <f t="shared" si="753"/>
        <v>0</v>
      </c>
      <c r="G410" s="78">
        <f t="shared" si="753"/>
        <v>0</v>
      </c>
      <c r="H410" s="78">
        <f t="shared" si="753"/>
        <v>0</v>
      </c>
      <c r="I410" s="78">
        <f t="shared" si="753"/>
        <v>0</v>
      </c>
      <c r="J410" s="78">
        <f t="shared" si="753"/>
        <v>0</v>
      </c>
      <c r="K410" s="78">
        <f t="shared" si="753"/>
        <v>0</v>
      </c>
      <c r="L410" s="78">
        <f t="shared" si="753"/>
        <v>0</v>
      </c>
      <c r="M410" s="78">
        <f t="shared" si="753"/>
        <v>0</v>
      </c>
      <c r="N410" s="78">
        <f t="shared" si="753"/>
        <v>0</v>
      </c>
      <c r="O410" s="78">
        <f t="shared" si="753"/>
        <v>0</v>
      </c>
      <c r="P410" s="78">
        <f t="shared" si="753"/>
        <v>0</v>
      </c>
    </row>
    <row r="411" spans="1:16" hidden="1" x14ac:dyDescent="0.25">
      <c r="B411" s="110" t="s">
        <v>196</v>
      </c>
      <c r="C411" s="79"/>
      <c r="D411" s="79"/>
      <c r="E411" s="79"/>
      <c r="F411" s="79"/>
      <c r="G411" s="79"/>
      <c r="H411" s="79"/>
      <c r="I411" s="79"/>
      <c r="J411" s="79"/>
      <c r="K411" s="79"/>
      <c r="L411" s="79"/>
      <c r="M411" s="79"/>
      <c r="N411" s="79"/>
      <c r="O411" s="79"/>
      <c r="P411" s="79"/>
    </row>
    <row r="412" spans="1:16" s="153" customFormat="1" hidden="1" x14ac:dyDescent="0.25">
      <c r="A412" s="135"/>
      <c r="B412" s="135" t="s">
        <v>197</v>
      </c>
      <c r="C412" s="78">
        <f t="shared" ref="C412:P412" si="754">+C230</f>
        <v>100</v>
      </c>
      <c r="D412" s="78">
        <f t="shared" si="754"/>
        <v>100</v>
      </c>
      <c r="E412" s="78">
        <f t="shared" si="754"/>
        <v>0</v>
      </c>
      <c r="F412" s="78">
        <f t="shared" si="754"/>
        <v>100</v>
      </c>
      <c r="G412" s="78">
        <f t="shared" si="754"/>
        <v>0</v>
      </c>
      <c r="H412" s="78">
        <f t="shared" si="754"/>
        <v>0</v>
      </c>
      <c r="I412" s="78">
        <f t="shared" si="754"/>
        <v>0</v>
      </c>
      <c r="J412" s="78">
        <f t="shared" si="754"/>
        <v>0</v>
      </c>
      <c r="K412" s="78">
        <f t="shared" si="754"/>
        <v>0</v>
      </c>
      <c r="L412" s="78">
        <f t="shared" si="754"/>
        <v>0</v>
      </c>
      <c r="M412" s="78">
        <f t="shared" si="754"/>
        <v>0</v>
      </c>
      <c r="N412" s="78">
        <f t="shared" si="754"/>
        <v>0</v>
      </c>
      <c r="O412" s="78">
        <f t="shared" si="754"/>
        <v>0</v>
      </c>
      <c r="P412" s="78">
        <f t="shared" si="754"/>
        <v>0</v>
      </c>
    </row>
    <row r="413" spans="1:16" ht="63" hidden="1" x14ac:dyDescent="0.25">
      <c r="B413" s="138" t="s">
        <v>386</v>
      </c>
      <c r="C413" s="78">
        <f t="shared" ref="C413:P413" si="755">+C268</f>
        <v>10695</v>
      </c>
      <c r="D413" s="78">
        <f t="shared" si="755"/>
        <v>10695</v>
      </c>
      <c r="E413" s="78">
        <f t="shared" si="755"/>
        <v>10695</v>
      </c>
      <c r="F413" s="78">
        <f t="shared" si="755"/>
        <v>0</v>
      </c>
      <c r="G413" s="78">
        <f t="shared" si="755"/>
        <v>0</v>
      </c>
      <c r="H413" s="78">
        <f t="shared" si="755"/>
        <v>0</v>
      </c>
      <c r="I413" s="78">
        <f t="shared" si="755"/>
        <v>0</v>
      </c>
      <c r="J413" s="78">
        <f t="shared" si="755"/>
        <v>1076</v>
      </c>
      <c r="K413" s="78">
        <f t="shared" si="755"/>
        <v>1076</v>
      </c>
      <c r="L413" s="78">
        <f t="shared" si="755"/>
        <v>1076</v>
      </c>
      <c r="M413" s="78">
        <f t="shared" si="755"/>
        <v>0</v>
      </c>
      <c r="N413" s="78">
        <f t="shared" si="755"/>
        <v>0</v>
      </c>
      <c r="O413" s="78">
        <f t="shared" si="755"/>
        <v>0</v>
      </c>
      <c r="P413" s="78">
        <f t="shared" si="755"/>
        <v>0</v>
      </c>
    </row>
    <row r="414" spans="1:16" hidden="1" x14ac:dyDescent="0.25">
      <c r="C414" s="79"/>
      <c r="D414" s="79"/>
      <c r="E414" s="79"/>
      <c r="F414" s="79"/>
      <c r="G414" s="79"/>
      <c r="H414" s="79"/>
      <c r="I414" s="79"/>
      <c r="J414" s="79"/>
      <c r="K414" s="79"/>
      <c r="L414" s="79"/>
      <c r="M414" s="79"/>
      <c r="N414" s="79"/>
      <c r="O414" s="79"/>
      <c r="P414" s="79"/>
    </row>
    <row r="415" spans="1:16" s="153" customFormat="1" hidden="1" x14ac:dyDescent="0.25">
      <c r="A415" s="135"/>
      <c r="B415" s="135" t="s">
        <v>198</v>
      </c>
      <c r="C415" s="75">
        <f t="shared" ref="C415" si="756">+C416+C419</f>
        <v>44406552</v>
      </c>
      <c r="D415" s="75">
        <f t="shared" ref="D415:J415" si="757">+D416+D419</f>
        <v>41478815</v>
      </c>
      <c r="E415" s="78">
        <f t="shared" si="757"/>
        <v>25753014</v>
      </c>
      <c r="F415" s="78">
        <f t="shared" si="757"/>
        <v>15725801</v>
      </c>
      <c r="G415" s="75">
        <f t="shared" si="757"/>
        <v>2927737</v>
      </c>
      <c r="H415" s="78">
        <f t="shared" si="757"/>
        <v>1587101</v>
      </c>
      <c r="I415" s="78">
        <f t="shared" si="757"/>
        <v>1340636</v>
      </c>
      <c r="J415" s="75">
        <f t="shared" si="757"/>
        <v>6946010</v>
      </c>
      <c r="K415" s="75">
        <f t="shared" ref="K415:P415" si="758">+K416+K419</f>
        <v>6946010</v>
      </c>
      <c r="L415" s="78">
        <f t="shared" si="758"/>
        <v>4552783</v>
      </c>
      <c r="M415" s="78">
        <f t="shared" si="758"/>
        <v>2393227</v>
      </c>
      <c r="N415" s="75">
        <f t="shared" si="758"/>
        <v>0</v>
      </c>
      <c r="O415" s="78">
        <f t="shared" si="758"/>
        <v>0</v>
      </c>
      <c r="P415" s="78">
        <f t="shared" si="758"/>
        <v>0</v>
      </c>
    </row>
    <row r="416" spans="1:16" s="153" customFormat="1" hidden="1" x14ac:dyDescent="0.25">
      <c r="A416" s="135"/>
      <c r="B416" s="135" t="s">
        <v>199</v>
      </c>
      <c r="C416" s="75">
        <f t="shared" ref="C416" si="759">+C417+C418</f>
        <v>9439836</v>
      </c>
      <c r="D416" s="75">
        <f t="shared" ref="D416:J416" si="760">+D417+D418</f>
        <v>8906022</v>
      </c>
      <c r="E416" s="78">
        <f t="shared" si="760"/>
        <v>8906022</v>
      </c>
      <c r="F416" s="78">
        <f t="shared" si="760"/>
        <v>0</v>
      </c>
      <c r="G416" s="75">
        <f t="shared" si="760"/>
        <v>533814</v>
      </c>
      <c r="H416" s="78">
        <f t="shared" si="760"/>
        <v>533814</v>
      </c>
      <c r="I416" s="78">
        <f t="shared" si="760"/>
        <v>0</v>
      </c>
      <c r="J416" s="75">
        <f t="shared" si="760"/>
        <v>1059738</v>
      </c>
      <c r="K416" s="75">
        <f t="shared" ref="K416:P416" si="761">+K417+K418</f>
        <v>1059738</v>
      </c>
      <c r="L416" s="78">
        <f t="shared" si="761"/>
        <v>1059738</v>
      </c>
      <c r="M416" s="78">
        <f t="shared" si="761"/>
        <v>0</v>
      </c>
      <c r="N416" s="75">
        <f t="shared" si="761"/>
        <v>0</v>
      </c>
      <c r="O416" s="78">
        <f t="shared" si="761"/>
        <v>0</v>
      </c>
      <c r="P416" s="78">
        <f t="shared" si="761"/>
        <v>0</v>
      </c>
    </row>
    <row r="417" spans="1:16" s="153" customFormat="1" hidden="1" x14ac:dyDescent="0.25">
      <c r="A417" s="139"/>
      <c r="B417" s="139" t="s">
        <v>200</v>
      </c>
      <c r="C417" s="75">
        <f>C136+C216+C239+C241+C270+C279+C293+C276</f>
        <v>9431730</v>
      </c>
      <c r="D417" s="75">
        <f t="shared" ref="D417:P417" si="762">D136+D216+D239+D241+D270+D279+D293+D276</f>
        <v>8897916</v>
      </c>
      <c r="E417" s="75">
        <f t="shared" si="762"/>
        <v>8897916</v>
      </c>
      <c r="F417" s="75">
        <f t="shared" si="762"/>
        <v>0</v>
      </c>
      <c r="G417" s="75">
        <f t="shared" si="762"/>
        <v>533814</v>
      </c>
      <c r="H417" s="75">
        <f t="shared" si="762"/>
        <v>533814</v>
      </c>
      <c r="I417" s="75">
        <f t="shared" si="762"/>
        <v>0</v>
      </c>
      <c r="J417" s="75">
        <f t="shared" si="762"/>
        <v>1059738</v>
      </c>
      <c r="K417" s="75">
        <f t="shared" si="762"/>
        <v>1059738</v>
      </c>
      <c r="L417" s="75">
        <f t="shared" si="762"/>
        <v>1059738</v>
      </c>
      <c r="M417" s="75">
        <f t="shared" si="762"/>
        <v>0</v>
      </c>
      <c r="N417" s="75">
        <f t="shared" si="762"/>
        <v>0</v>
      </c>
      <c r="O417" s="75">
        <f t="shared" si="762"/>
        <v>0</v>
      </c>
      <c r="P417" s="75">
        <f t="shared" si="762"/>
        <v>0</v>
      </c>
    </row>
    <row r="418" spans="1:16" s="153" customFormat="1" hidden="1" x14ac:dyDescent="0.25">
      <c r="A418" s="139"/>
      <c r="B418" s="139" t="s">
        <v>201</v>
      </c>
      <c r="C418" s="75">
        <f t="shared" ref="C418:P418" si="763">+C242+C271+C277</f>
        <v>8106</v>
      </c>
      <c r="D418" s="75">
        <f t="shared" si="763"/>
        <v>8106</v>
      </c>
      <c r="E418" s="78">
        <f t="shared" si="763"/>
        <v>8106</v>
      </c>
      <c r="F418" s="78">
        <f t="shared" si="763"/>
        <v>0</v>
      </c>
      <c r="G418" s="75">
        <f t="shared" si="763"/>
        <v>0</v>
      </c>
      <c r="H418" s="78">
        <f t="shared" si="763"/>
        <v>0</v>
      </c>
      <c r="I418" s="78">
        <f t="shared" si="763"/>
        <v>0</v>
      </c>
      <c r="J418" s="75">
        <f t="shared" si="763"/>
        <v>0</v>
      </c>
      <c r="K418" s="75">
        <f t="shared" si="763"/>
        <v>0</v>
      </c>
      <c r="L418" s="78">
        <f t="shared" si="763"/>
        <v>0</v>
      </c>
      <c r="M418" s="78">
        <f t="shared" si="763"/>
        <v>0</v>
      </c>
      <c r="N418" s="75">
        <f t="shared" si="763"/>
        <v>0</v>
      </c>
      <c r="O418" s="78">
        <f t="shared" si="763"/>
        <v>0</v>
      </c>
      <c r="P418" s="78">
        <f t="shared" si="763"/>
        <v>0</v>
      </c>
    </row>
    <row r="419" spans="1:16" s="153" customFormat="1" hidden="1" x14ac:dyDescent="0.25">
      <c r="A419" s="136"/>
      <c r="B419" s="136" t="s">
        <v>202</v>
      </c>
      <c r="C419" s="75">
        <f t="shared" ref="C419" si="764">+C420+C421</f>
        <v>34966716</v>
      </c>
      <c r="D419" s="75">
        <f t="shared" ref="D419:J419" si="765">+D420+D421</f>
        <v>32572793</v>
      </c>
      <c r="E419" s="78">
        <f t="shared" si="765"/>
        <v>16846992</v>
      </c>
      <c r="F419" s="78">
        <f t="shared" si="765"/>
        <v>15725801</v>
      </c>
      <c r="G419" s="75">
        <f t="shared" si="765"/>
        <v>2393923</v>
      </c>
      <c r="H419" s="78">
        <f t="shared" si="765"/>
        <v>1053287</v>
      </c>
      <c r="I419" s="78">
        <f t="shared" si="765"/>
        <v>1340636</v>
      </c>
      <c r="J419" s="75">
        <f t="shared" si="765"/>
        <v>5886272</v>
      </c>
      <c r="K419" s="75">
        <f t="shared" ref="K419:P419" si="766">+K420+K421</f>
        <v>5886272</v>
      </c>
      <c r="L419" s="78">
        <f t="shared" si="766"/>
        <v>3493045</v>
      </c>
      <c r="M419" s="78">
        <f t="shared" si="766"/>
        <v>2393227</v>
      </c>
      <c r="N419" s="75">
        <f t="shared" si="766"/>
        <v>0</v>
      </c>
      <c r="O419" s="78">
        <f t="shared" si="766"/>
        <v>0</v>
      </c>
      <c r="P419" s="78">
        <f t="shared" si="766"/>
        <v>0</v>
      </c>
    </row>
    <row r="420" spans="1:16" hidden="1" x14ac:dyDescent="0.25">
      <c r="A420" s="139"/>
      <c r="B420" s="139" t="s">
        <v>200</v>
      </c>
      <c r="C420" s="78">
        <f t="shared" ref="C420:P420" si="767">+C211+C228+C246+C253+C260+C283+C291</f>
        <v>34966651</v>
      </c>
      <c r="D420" s="78">
        <f t="shared" si="767"/>
        <v>32572728</v>
      </c>
      <c r="E420" s="78">
        <f t="shared" si="767"/>
        <v>16846992</v>
      </c>
      <c r="F420" s="78">
        <f t="shared" si="767"/>
        <v>15725736</v>
      </c>
      <c r="G420" s="78">
        <f t="shared" si="767"/>
        <v>2393923</v>
      </c>
      <c r="H420" s="78">
        <f t="shared" si="767"/>
        <v>1053287</v>
      </c>
      <c r="I420" s="78">
        <f t="shared" si="767"/>
        <v>1340636</v>
      </c>
      <c r="J420" s="78">
        <f t="shared" si="767"/>
        <v>5886272</v>
      </c>
      <c r="K420" s="78">
        <f t="shared" si="767"/>
        <v>5886272</v>
      </c>
      <c r="L420" s="78">
        <f t="shared" si="767"/>
        <v>3493045</v>
      </c>
      <c r="M420" s="78">
        <f t="shared" si="767"/>
        <v>2393227</v>
      </c>
      <c r="N420" s="78">
        <f t="shared" si="767"/>
        <v>0</v>
      </c>
      <c r="O420" s="78">
        <f t="shared" si="767"/>
        <v>0</v>
      </c>
      <c r="P420" s="78">
        <f t="shared" si="767"/>
        <v>0</v>
      </c>
    </row>
    <row r="421" spans="1:16" hidden="1" x14ac:dyDescent="0.25">
      <c r="A421" s="139"/>
      <c r="B421" s="139" t="s">
        <v>201</v>
      </c>
      <c r="C421" s="78">
        <f t="shared" ref="C421:P421" si="768">+C212+C229+C263</f>
        <v>65</v>
      </c>
      <c r="D421" s="78">
        <f t="shared" si="768"/>
        <v>65</v>
      </c>
      <c r="E421" s="78">
        <f t="shared" si="768"/>
        <v>0</v>
      </c>
      <c r="F421" s="78">
        <f t="shared" si="768"/>
        <v>65</v>
      </c>
      <c r="G421" s="78">
        <f t="shared" si="768"/>
        <v>0</v>
      </c>
      <c r="H421" s="78">
        <f t="shared" si="768"/>
        <v>0</v>
      </c>
      <c r="I421" s="78">
        <f t="shared" si="768"/>
        <v>0</v>
      </c>
      <c r="J421" s="78">
        <f t="shared" si="768"/>
        <v>0</v>
      </c>
      <c r="K421" s="78">
        <f t="shared" si="768"/>
        <v>0</v>
      </c>
      <c r="L421" s="78">
        <f t="shared" si="768"/>
        <v>0</v>
      </c>
      <c r="M421" s="78">
        <f t="shared" si="768"/>
        <v>0</v>
      </c>
      <c r="N421" s="78">
        <f t="shared" si="768"/>
        <v>0</v>
      </c>
      <c r="O421" s="78">
        <f t="shared" si="768"/>
        <v>0</v>
      </c>
      <c r="P421" s="78">
        <f t="shared" si="768"/>
        <v>0</v>
      </c>
    </row>
    <row r="422" spans="1:16" hidden="1" x14ac:dyDescent="0.25">
      <c r="A422" s="139"/>
      <c r="B422" s="139"/>
      <c r="C422" s="79"/>
      <c r="D422" s="79"/>
      <c r="E422" s="79"/>
      <c r="F422" s="79"/>
      <c r="G422" s="79"/>
      <c r="H422" s="79"/>
      <c r="I422" s="79"/>
      <c r="J422" s="79"/>
      <c r="K422" s="79"/>
      <c r="L422" s="79"/>
      <c r="M422" s="79"/>
      <c r="N422" s="79"/>
      <c r="O422" s="79"/>
      <c r="P422" s="79"/>
    </row>
    <row r="423" spans="1:16" hidden="1" x14ac:dyDescent="0.25">
      <c r="A423" s="135"/>
      <c r="B423" s="135" t="s">
        <v>203</v>
      </c>
      <c r="C423" s="75">
        <f t="shared" ref="C423" si="769">C424+C425</f>
        <v>1286245628</v>
      </c>
      <c r="D423" s="75">
        <f t="shared" ref="D423:J423" si="770">D424+D425</f>
        <v>1033370792</v>
      </c>
      <c r="E423" s="78">
        <f t="shared" si="770"/>
        <v>401829685</v>
      </c>
      <c r="F423" s="78">
        <f t="shared" si="770"/>
        <v>631541107</v>
      </c>
      <c r="G423" s="75">
        <f t="shared" si="770"/>
        <v>252874836</v>
      </c>
      <c r="H423" s="78">
        <f t="shared" si="770"/>
        <v>84818019</v>
      </c>
      <c r="I423" s="78">
        <f t="shared" si="770"/>
        <v>168056817</v>
      </c>
      <c r="J423" s="75">
        <f t="shared" si="770"/>
        <v>128552129</v>
      </c>
      <c r="K423" s="75">
        <f t="shared" ref="K423:P423" si="771">K424+K425</f>
        <v>128552129</v>
      </c>
      <c r="L423" s="78">
        <f t="shared" si="771"/>
        <v>45895645</v>
      </c>
      <c r="M423" s="78">
        <f t="shared" si="771"/>
        <v>82656484</v>
      </c>
      <c r="N423" s="75">
        <f t="shared" si="771"/>
        <v>0</v>
      </c>
      <c r="O423" s="78">
        <f t="shared" si="771"/>
        <v>0</v>
      </c>
      <c r="P423" s="78">
        <f t="shared" si="771"/>
        <v>0</v>
      </c>
    </row>
    <row r="424" spans="1:16" hidden="1" x14ac:dyDescent="0.25">
      <c r="A424" s="139"/>
      <c r="B424" s="139" t="s">
        <v>200</v>
      </c>
      <c r="C424" s="80">
        <f t="shared" ref="C424:C425" si="772">C428+C432+C436</f>
        <v>1255259946</v>
      </c>
      <c r="D424" s="80">
        <f t="shared" ref="D424:P425" si="773">D428+D432+D436</f>
        <v>1004314568</v>
      </c>
      <c r="E424" s="78">
        <f t="shared" si="773"/>
        <v>385596138</v>
      </c>
      <c r="F424" s="78">
        <f t="shared" si="773"/>
        <v>618718430</v>
      </c>
      <c r="G424" s="80">
        <f t="shared" si="773"/>
        <v>250945378</v>
      </c>
      <c r="H424" s="78">
        <f t="shared" si="773"/>
        <v>83725221</v>
      </c>
      <c r="I424" s="78">
        <f t="shared" si="773"/>
        <v>167220157</v>
      </c>
      <c r="J424" s="80">
        <f t="shared" si="773"/>
        <v>124155719</v>
      </c>
      <c r="K424" s="80">
        <f t="shared" ref="K424:P424" si="774">K428+K432+K436</f>
        <v>124155719</v>
      </c>
      <c r="L424" s="78">
        <f t="shared" si="774"/>
        <v>44824443</v>
      </c>
      <c r="M424" s="78">
        <f t="shared" si="774"/>
        <v>79331276</v>
      </c>
      <c r="N424" s="80">
        <f t="shared" si="774"/>
        <v>0</v>
      </c>
      <c r="O424" s="78">
        <f t="shared" si="774"/>
        <v>0</v>
      </c>
      <c r="P424" s="78">
        <f t="shared" si="774"/>
        <v>0</v>
      </c>
    </row>
    <row r="425" spans="1:16" hidden="1" x14ac:dyDescent="0.25">
      <c r="A425" s="139"/>
      <c r="B425" s="139" t="s">
        <v>204</v>
      </c>
      <c r="C425" s="80">
        <f t="shared" si="772"/>
        <v>30985682</v>
      </c>
      <c r="D425" s="80">
        <f t="shared" ref="D425:I425" si="775">D429+D433+D437</f>
        <v>29056224</v>
      </c>
      <c r="E425" s="78">
        <f t="shared" si="775"/>
        <v>16233547</v>
      </c>
      <c r="F425" s="78">
        <f t="shared" si="775"/>
        <v>12822677</v>
      </c>
      <c r="G425" s="80">
        <f t="shared" si="775"/>
        <v>1929458</v>
      </c>
      <c r="H425" s="78">
        <f t="shared" si="775"/>
        <v>1092798</v>
      </c>
      <c r="I425" s="78">
        <f t="shared" si="775"/>
        <v>836660</v>
      </c>
      <c r="J425" s="80">
        <f t="shared" si="773"/>
        <v>4396410</v>
      </c>
      <c r="K425" s="80">
        <f t="shared" si="773"/>
        <v>4396410</v>
      </c>
      <c r="L425" s="78">
        <f t="shared" si="773"/>
        <v>1071202</v>
      </c>
      <c r="M425" s="78">
        <f t="shared" si="773"/>
        <v>3325208</v>
      </c>
      <c r="N425" s="80">
        <f t="shared" si="773"/>
        <v>0</v>
      </c>
      <c r="O425" s="78">
        <f t="shared" si="773"/>
        <v>0</v>
      </c>
      <c r="P425" s="78">
        <f t="shared" si="773"/>
        <v>0</v>
      </c>
    </row>
    <row r="426" spans="1:16" hidden="1" x14ac:dyDescent="0.25">
      <c r="A426" s="139"/>
      <c r="B426" s="139" t="s">
        <v>205</v>
      </c>
      <c r="C426" s="81">
        <f t="shared" ref="C426" si="776">+C430+C434+C438</f>
        <v>2791206</v>
      </c>
      <c r="D426" s="81">
        <f t="shared" ref="D426:J426" si="777">+D430+D434+D438</f>
        <v>2791206</v>
      </c>
      <c r="E426" s="106">
        <f t="shared" si="777"/>
        <v>910507</v>
      </c>
      <c r="F426" s="106">
        <f t="shared" si="777"/>
        <v>1880699</v>
      </c>
      <c r="G426" s="81">
        <f t="shared" si="777"/>
        <v>0</v>
      </c>
      <c r="H426" s="106">
        <f t="shared" si="777"/>
        <v>0</v>
      </c>
      <c r="I426" s="106">
        <f t="shared" si="777"/>
        <v>0</v>
      </c>
      <c r="J426" s="81">
        <f t="shared" si="777"/>
        <v>280195</v>
      </c>
      <c r="K426" s="81">
        <f t="shared" ref="K426:P426" si="778">+K430+K434+K438</f>
        <v>280195</v>
      </c>
      <c r="L426" s="106">
        <f t="shared" si="778"/>
        <v>89626</v>
      </c>
      <c r="M426" s="106">
        <f t="shared" si="778"/>
        <v>190569</v>
      </c>
      <c r="N426" s="81">
        <f t="shared" si="778"/>
        <v>0</v>
      </c>
      <c r="O426" s="106">
        <f t="shared" si="778"/>
        <v>0</v>
      </c>
      <c r="P426" s="106">
        <f t="shared" si="778"/>
        <v>0</v>
      </c>
    </row>
    <row r="427" spans="1:16" s="153" customFormat="1" hidden="1" x14ac:dyDescent="0.25">
      <c r="A427" s="135"/>
      <c r="B427" s="135" t="s">
        <v>206</v>
      </c>
      <c r="C427" s="81">
        <f t="shared" ref="C427" si="779">C428+C429</f>
        <v>353872033</v>
      </c>
      <c r="D427" s="81">
        <f t="shared" ref="D427:J427" si="780">D428+D429</f>
        <v>256044117</v>
      </c>
      <c r="E427" s="106">
        <f t="shared" si="780"/>
        <v>55045643</v>
      </c>
      <c r="F427" s="106">
        <f t="shared" si="780"/>
        <v>200998474</v>
      </c>
      <c r="G427" s="81">
        <f t="shared" si="780"/>
        <v>97827916</v>
      </c>
      <c r="H427" s="106">
        <f t="shared" si="780"/>
        <v>22168857</v>
      </c>
      <c r="I427" s="106">
        <f t="shared" si="780"/>
        <v>75659059</v>
      </c>
      <c r="J427" s="81">
        <f t="shared" si="780"/>
        <v>34502391</v>
      </c>
      <c r="K427" s="81">
        <f t="shared" ref="K427:P427" si="781">K428+K429</f>
        <v>34502391</v>
      </c>
      <c r="L427" s="106">
        <f t="shared" si="781"/>
        <v>7918123</v>
      </c>
      <c r="M427" s="106">
        <f t="shared" si="781"/>
        <v>26584268</v>
      </c>
      <c r="N427" s="81">
        <f t="shared" si="781"/>
        <v>0</v>
      </c>
      <c r="O427" s="106">
        <f t="shared" si="781"/>
        <v>0</v>
      </c>
      <c r="P427" s="106">
        <f t="shared" si="781"/>
        <v>0</v>
      </c>
    </row>
    <row r="428" spans="1:16" hidden="1" x14ac:dyDescent="0.25">
      <c r="A428" s="139"/>
      <c r="B428" s="139" t="s">
        <v>200</v>
      </c>
      <c r="C428" s="82">
        <f>+C113+C116+C119+C122+C125+C128+C131+C134+C155+C158+C161+C164+C166+C167+C169+C171+C173+C177+C179+C181+C183+C186+C215+C216+C234+C237+C239+C241+C270+C273+C278+C279+C293+C276</f>
        <v>352763585</v>
      </c>
      <c r="D428" s="82">
        <f t="shared" ref="D428:P428" si="782">+D113+D116+D119+D122+D125+D128+D131+D134+D155+D158+D161+D164+D166+D167+D169+D171+D173+D177+D179+D181+D183+D186+D215+D216+D234+D237+D239+D241+D270+D273+D278+D279+D293+D276</f>
        <v>254935669</v>
      </c>
      <c r="E428" s="82">
        <f t="shared" si="782"/>
        <v>54909118</v>
      </c>
      <c r="F428" s="82">
        <f t="shared" si="782"/>
        <v>200026551</v>
      </c>
      <c r="G428" s="82">
        <f t="shared" si="782"/>
        <v>97827916</v>
      </c>
      <c r="H428" s="82">
        <f t="shared" si="782"/>
        <v>22168857</v>
      </c>
      <c r="I428" s="82">
        <f t="shared" si="782"/>
        <v>75659059</v>
      </c>
      <c r="J428" s="82">
        <f t="shared" si="782"/>
        <v>34386084</v>
      </c>
      <c r="K428" s="82">
        <f t="shared" si="782"/>
        <v>34386084</v>
      </c>
      <c r="L428" s="82">
        <f t="shared" si="782"/>
        <v>7908542</v>
      </c>
      <c r="M428" s="82">
        <f t="shared" si="782"/>
        <v>26477542</v>
      </c>
      <c r="N428" s="82">
        <f t="shared" si="782"/>
        <v>0</v>
      </c>
      <c r="O428" s="82">
        <f t="shared" si="782"/>
        <v>0</v>
      </c>
      <c r="P428" s="82">
        <f t="shared" si="782"/>
        <v>0</v>
      </c>
    </row>
    <row r="429" spans="1:16" hidden="1" x14ac:dyDescent="0.25">
      <c r="A429" s="139"/>
      <c r="B429" s="139" t="s">
        <v>204</v>
      </c>
      <c r="C429" s="82">
        <f>+C114+C117+C120+C123+C126+C129+C132+C137+C156+C159+C162+C165+C170+C174+C178+C182+C187+C235+C238+C242+C271+C274+C277</f>
        <v>1108448</v>
      </c>
      <c r="D429" s="82">
        <f t="shared" ref="D429:P429" si="783">+D114+D117+D120+D123+D126+D129+D132+D137+D156+D159+D162+D165+D170+D174+D178+D182+D187+D235+D238+D242+D271+D274+D277</f>
        <v>1108448</v>
      </c>
      <c r="E429" s="82">
        <f t="shared" si="783"/>
        <v>136525</v>
      </c>
      <c r="F429" s="82">
        <f t="shared" si="783"/>
        <v>971923</v>
      </c>
      <c r="G429" s="82">
        <f t="shared" si="783"/>
        <v>0</v>
      </c>
      <c r="H429" s="82">
        <f t="shared" si="783"/>
        <v>0</v>
      </c>
      <c r="I429" s="82">
        <f t="shared" si="783"/>
        <v>0</v>
      </c>
      <c r="J429" s="82">
        <f t="shared" si="783"/>
        <v>116307</v>
      </c>
      <c r="K429" s="82">
        <f t="shared" si="783"/>
        <v>116307</v>
      </c>
      <c r="L429" s="82">
        <f t="shared" si="783"/>
        <v>9581</v>
      </c>
      <c r="M429" s="82">
        <f t="shared" si="783"/>
        <v>106726</v>
      </c>
      <c r="N429" s="82">
        <f t="shared" si="783"/>
        <v>0</v>
      </c>
      <c r="O429" s="82">
        <f t="shared" si="783"/>
        <v>0</v>
      </c>
      <c r="P429" s="82">
        <f t="shared" si="783"/>
        <v>0</v>
      </c>
    </row>
    <row r="430" spans="1:16" hidden="1" x14ac:dyDescent="0.25">
      <c r="A430" s="139"/>
      <c r="B430" s="139" t="s">
        <v>205</v>
      </c>
      <c r="C430" s="82">
        <f>+C369+C371+C372+C379+C380+C381+C386+C387+C388</f>
        <v>1108448</v>
      </c>
      <c r="D430" s="82">
        <f t="shared" ref="D430:I430" si="784">+D369+D371+D372+D379+D380+D381+D386+D387+D388</f>
        <v>1108448</v>
      </c>
      <c r="E430" s="106">
        <f t="shared" si="784"/>
        <v>136525</v>
      </c>
      <c r="F430" s="106">
        <f t="shared" si="784"/>
        <v>971923</v>
      </c>
      <c r="G430" s="82">
        <f t="shared" si="784"/>
        <v>0</v>
      </c>
      <c r="H430" s="106">
        <f t="shared" si="784"/>
        <v>0</v>
      </c>
      <c r="I430" s="106">
        <f t="shared" si="784"/>
        <v>0</v>
      </c>
      <c r="J430" s="82">
        <f>+J369+J371+J372+J379+J380+J381+J386+J387+J388</f>
        <v>116307</v>
      </c>
      <c r="K430" s="82">
        <f t="shared" ref="K430:P430" si="785">+K369+K371+K372+K379+K380+K381+K386+K387+K388</f>
        <v>116307</v>
      </c>
      <c r="L430" s="106">
        <f t="shared" si="785"/>
        <v>9581</v>
      </c>
      <c r="M430" s="106">
        <f t="shared" si="785"/>
        <v>106726</v>
      </c>
      <c r="N430" s="82">
        <f t="shared" si="785"/>
        <v>0</v>
      </c>
      <c r="O430" s="106">
        <f t="shared" si="785"/>
        <v>0</v>
      </c>
      <c r="P430" s="106">
        <f t="shared" si="785"/>
        <v>0</v>
      </c>
    </row>
    <row r="431" spans="1:16" s="153" customFormat="1" hidden="1" x14ac:dyDescent="0.25">
      <c r="A431" s="136"/>
      <c r="B431" s="136" t="s">
        <v>207</v>
      </c>
      <c r="C431" s="81">
        <f t="shared" ref="C431" si="786">C432+C433</f>
        <v>824281942</v>
      </c>
      <c r="D431" s="81">
        <f t="shared" ref="D431:J431" si="787">D432+D433</f>
        <v>697310550</v>
      </c>
      <c r="E431" s="106">
        <f t="shared" si="787"/>
        <v>323678962</v>
      </c>
      <c r="F431" s="106">
        <f t="shared" si="787"/>
        <v>373631588</v>
      </c>
      <c r="G431" s="81">
        <f t="shared" si="787"/>
        <v>126971392</v>
      </c>
      <c r="H431" s="106">
        <f t="shared" si="787"/>
        <v>51333922</v>
      </c>
      <c r="I431" s="106">
        <f t="shared" si="787"/>
        <v>75637470</v>
      </c>
      <c r="J431" s="81">
        <f t="shared" si="787"/>
        <v>84434117</v>
      </c>
      <c r="K431" s="81">
        <f t="shared" ref="K431:P431" si="788">K432+K433</f>
        <v>84434117</v>
      </c>
      <c r="L431" s="106">
        <f t="shared" si="788"/>
        <v>36063726</v>
      </c>
      <c r="M431" s="106">
        <f t="shared" si="788"/>
        <v>48370391</v>
      </c>
      <c r="N431" s="81">
        <f t="shared" si="788"/>
        <v>0</v>
      </c>
      <c r="O431" s="106">
        <f t="shared" si="788"/>
        <v>0</v>
      </c>
      <c r="P431" s="106">
        <f t="shared" si="788"/>
        <v>0</v>
      </c>
    </row>
    <row r="432" spans="1:16" hidden="1" x14ac:dyDescent="0.25">
      <c r="A432" s="139"/>
      <c r="B432" s="139" t="s">
        <v>200</v>
      </c>
      <c r="C432" s="82">
        <f t="shared" ref="C432:P432" si="789">C93+C191+C196+C209+C211+C219+C226+C228+C245+C246+C252+C253+C258+C282+C283+C290+C291+C295+C260</f>
        <v>794760403</v>
      </c>
      <c r="D432" s="82">
        <f t="shared" si="789"/>
        <v>669718469</v>
      </c>
      <c r="E432" s="106">
        <f t="shared" si="789"/>
        <v>307632571</v>
      </c>
      <c r="F432" s="106">
        <f t="shared" si="789"/>
        <v>362085898</v>
      </c>
      <c r="G432" s="82">
        <f t="shared" si="789"/>
        <v>125041934</v>
      </c>
      <c r="H432" s="106">
        <f t="shared" si="789"/>
        <v>50241124</v>
      </c>
      <c r="I432" s="106">
        <f t="shared" si="789"/>
        <v>74800810</v>
      </c>
      <c r="J432" s="82">
        <f t="shared" si="789"/>
        <v>80209534</v>
      </c>
      <c r="K432" s="82">
        <f t="shared" si="789"/>
        <v>80209534</v>
      </c>
      <c r="L432" s="106">
        <f t="shared" si="789"/>
        <v>35002105</v>
      </c>
      <c r="M432" s="106">
        <f t="shared" si="789"/>
        <v>45207429</v>
      </c>
      <c r="N432" s="82">
        <f t="shared" si="789"/>
        <v>0</v>
      </c>
      <c r="O432" s="106">
        <f t="shared" si="789"/>
        <v>0</v>
      </c>
      <c r="P432" s="106">
        <f t="shared" si="789"/>
        <v>0</v>
      </c>
    </row>
    <row r="433" spans="1:16" hidden="1" x14ac:dyDescent="0.25">
      <c r="A433" s="139"/>
      <c r="B433" s="139" t="s">
        <v>204</v>
      </c>
      <c r="C433" s="82">
        <f t="shared" ref="C433:P433" si="790">C94+C95+C109+C108+C201+C202+C203+C204+C212+C213+C220+C221+C223+C229+C230+C231+C247+C254+C263+C264+C267+C284+C285+C287+C265+C192+C248+C266+C286+C205+C96+C206+C214+C222+C232+C249+C292+C268</f>
        <v>29521539</v>
      </c>
      <c r="D433" s="82">
        <f t="shared" si="790"/>
        <v>27592081</v>
      </c>
      <c r="E433" s="106">
        <f t="shared" si="790"/>
        <v>16046391</v>
      </c>
      <c r="F433" s="106">
        <f t="shared" si="790"/>
        <v>11545690</v>
      </c>
      <c r="G433" s="82">
        <f t="shared" si="790"/>
        <v>1929458</v>
      </c>
      <c r="H433" s="106">
        <f t="shared" si="790"/>
        <v>1092798</v>
      </c>
      <c r="I433" s="106">
        <f t="shared" si="790"/>
        <v>836660</v>
      </c>
      <c r="J433" s="82">
        <f t="shared" si="790"/>
        <v>4224583</v>
      </c>
      <c r="K433" s="82">
        <f t="shared" si="790"/>
        <v>4224583</v>
      </c>
      <c r="L433" s="106">
        <f t="shared" si="790"/>
        <v>1061621</v>
      </c>
      <c r="M433" s="106">
        <f t="shared" si="790"/>
        <v>3162962</v>
      </c>
      <c r="N433" s="82">
        <f t="shared" si="790"/>
        <v>0</v>
      </c>
      <c r="O433" s="106">
        <f t="shared" si="790"/>
        <v>0</v>
      </c>
      <c r="P433" s="106">
        <f t="shared" si="790"/>
        <v>0</v>
      </c>
    </row>
    <row r="434" spans="1:16" hidden="1" x14ac:dyDescent="0.25">
      <c r="A434" s="139"/>
      <c r="B434" s="139" t="s">
        <v>205</v>
      </c>
      <c r="C434" s="82">
        <f>+C390+C383+C378+C376+C375+C374+C373+C367+C364+C363+C385+C382+C389</f>
        <v>1327063</v>
      </c>
      <c r="D434" s="82">
        <f t="shared" ref="D434:I434" si="791">+D390+D383+D378+D376+D375+D374+D373+D367+D364+D363+D385+D382+D389</f>
        <v>1327063</v>
      </c>
      <c r="E434" s="106">
        <f t="shared" si="791"/>
        <v>723351</v>
      </c>
      <c r="F434" s="106">
        <f t="shared" si="791"/>
        <v>603712</v>
      </c>
      <c r="G434" s="82">
        <f t="shared" si="791"/>
        <v>0</v>
      </c>
      <c r="H434" s="106">
        <f t="shared" si="791"/>
        <v>0</v>
      </c>
      <c r="I434" s="106">
        <f t="shared" si="791"/>
        <v>0</v>
      </c>
      <c r="J434" s="82">
        <f>+J390+J383+J378+J376+J375+J374+J373+J367+J364+J363+J385+J382+J389</f>
        <v>108368</v>
      </c>
      <c r="K434" s="82">
        <f t="shared" ref="K434:P434" si="792">+K390+K383+K378+K376+K375+K374+K373+K367+K364+K363+K385+K382+K389</f>
        <v>108368</v>
      </c>
      <c r="L434" s="106">
        <f t="shared" si="792"/>
        <v>80045</v>
      </c>
      <c r="M434" s="106">
        <f t="shared" si="792"/>
        <v>28323</v>
      </c>
      <c r="N434" s="82">
        <f t="shared" si="792"/>
        <v>0</v>
      </c>
      <c r="O434" s="106">
        <f t="shared" si="792"/>
        <v>0</v>
      </c>
      <c r="P434" s="106">
        <f t="shared" si="792"/>
        <v>0</v>
      </c>
    </row>
    <row r="435" spans="1:16" s="153" customFormat="1" hidden="1" x14ac:dyDescent="0.25">
      <c r="A435" s="136"/>
      <c r="B435" s="136" t="s">
        <v>208</v>
      </c>
      <c r="C435" s="81">
        <f t="shared" ref="C435" si="793">C436+C437</f>
        <v>108091653</v>
      </c>
      <c r="D435" s="81">
        <f t="shared" ref="D435:J435" si="794">D436+D437</f>
        <v>80016125</v>
      </c>
      <c r="E435" s="106">
        <f t="shared" si="794"/>
        <v>23105080</v>
      </c>
      <c r="F435" s="106">
        <f t="shared" si="794"/>
        <v>56911045</v>
      </c>
      <c r="G435" s="81">
        <f t="shared" si="794"/>
        <v>28075528</v>
      </c>
      <c r="H435" s="106">
        <f t="shared" si="794"/>
        <v>11315240</v>
      </c>
      <c r="I435" s="106">
        <f t="shared" si="794"/>
        <v>16760288</v>
      </c>
      <c r="J435" s="81">
        <f t="shared" si="794"/>
        <v>9615621</v>
      </c>
      <c r="K435" s="81">
        <f t="shared" ref="K435:P435" si="795">K436+K437</f>
        <v>9615621</v>
      </c>
      <c r="L435" s="106">
        <f t="shared" si="795"/>
        <v>1913796</v>
      </c>
      <c r="M435" s="106">
        <f t="shared" si="795"/>
        <v>7701825</v>
      </c>
      <c r="N435" s="81">
        <f t="shared" si="795"/>
        <v>0</v>
      </c>
      <c r="O435" s="106">
        <f t="shared" si="795"/>
        <v>0</v>
      </c>
      <c r="P435" s="106">
        <f t="shared" si="795"/>
        <v>0</v>
      </c>
    </row>
    <row r="436" spans="1:16" s="153" customFormat="1" hidden="1" x14ac:dyDescent="0.25">
      <c r="A436" s="139"/>
      <c r="B436" s="139" t="s">
        <v>200</v>
      </c>
      <c r="C436" s="82">
        <f>C100+C104+C106+C107+C140+C142+C143+C144+C146+C148+C149</f>
        <v>107735958</v>
      </c>
      <c r="D436" s="82">
        <f t="shared" ref="D436:P436" si="796">D100+D104+D106+D107+D140+D142+D143+D144+D146+D148+D149</f>
        <v>79660430</v>
      </c>
      <c r="E436" s="82">
        <f t="shared" si="796"/>
        <v>23054449</v>
      </c>
      <c r="F436" s="82">
        <f t="shared" si="796"/>
        <v>56605981</v>
      </c>
      <c r="G436" s="82">
        <f t="shared" si="796"/>
        <v>28075528</v>
      </c>
      <c r="H436" s="82">
        <f t="shared" si="796"/>
        <v>11315240</v>
      </c>
      <c r="I436" s="82">
        <f t="shared" si="796"/>
        <v>16760288</v>
      </c>
      <c r="J436" s="82">
        <f t="shared" si="796"/>
        <v>9560101</v>
      </c>
      <c r="K436" s="82">
        <f t="shared" si="796"/>
        <v>9560101</v>
      </c>
      <c r="L436" s="82">
        <f t="shared" si="796"/>
        <v>1913796</v>
      </c>
      <c r="M436" s="82">
        <f t="shared" si="796"/>
        <v>7646305</v>
      </c>
      <c r="N436" s="82">
        <f t="shared" si="796"/>
        <v>0</v>
      </c>
      <c r="O436" s="82">
        <f t="shared" si="796"/>
        <v>0</v>
      </c>
      <c r="P436" s="82">
        <f t="shared" si="796"/>
        <v>0</v>
      </c>
    </row>
    <row r="437" spans="1:16" s="153" customFormat="1" hidden="1" x14ac:dyDescent="0.25">
      <c r="A437" s="139"/>
      <c r="B437" s="139" t="s">
        <v>204</v>
      </c>
      <c r="C437" s="82">
        <f>C101+C105+C141+C147</f>
        <v>355695</v>
      </c>
      <c r="D437" s="82">
        <f t="shared" ref="D437:P437" si="797">D101+D105+D141+D147</f>
        <v>355695</v>
      </c>
      <c r="E437" s="82">
        <f t="shared" si="797"/>
        <v>50631</v>
      </c>
      <c r="F437" s="82">
        <f t="shared" si="797"/>
        <v>305064</v>
      </c>
      <c r="G437" s="82">
        <f t="shared" si="797"/>
        <v>0</v>
      </c>
      <c r="H437" s="82">
        <f t="shared" si="797"/>
        <v>0</v>
      </c>
      <c r="I437" s="82">
        <f t="shared" si="797"/>
        <v>0</v>
      </c>
      <c r="J437" s="82">
        <f t="shared" si="797"/>
        <v>55520</v>
      </c>
      <c r="K437" s="82">
        <f t="shared" si="797"/>
        <v>55520</v>
      </c>
      <c r="L437" s="82">
        <f t="shared" si="797"/>
        <v>0</v>
      </c>
      <c r="M437" s="82">
        <f t="shared" si="797"/>
        <v>55520</v>
      </c>
      <c r="N437" s="82">
        <f t="shared" si="797"/>
        <v>0</v>
      </c>
      <c r="O437" s="82">
        <f t="shared" si="797"/>
        <v>0</v>
      </c>
      <c r="P437" s="82">
        <f t="shared" si="797"/>
        <v>0</v>
      </c>
    </row>
    <row r="438" spans="1:16" s="153" customFormat="1" hidden="1" x14ac:dyDescent="0.25">
      <c r="A438" s="139"/>
      <c r="B438" s="139" t="s">
        <v>205</v>
      </c>
      <c r="C438" s="83">
        <f t="shared" ref="C438" si="798">+C365+C366+C370</f>
        <v>355695</v>
      </c>
      <c r="D438" s="83">
        <f t="shared" ref="D438:J438" si="799">+D365+D366+D370</f>
        <v>355695</v>
      </c>
      <c r="E438" s="107">
        <f t="shared" si="799"/>
        <v>50631</v>
      </c>
      <c r="F438" s="107">
        <f t="shared" si="799"/>
        <v>305064</v>
      </c>
      <c r="G438" s="83">
        <f t="shared" si="799"/>
        <v>0</v>
      </c>
      <c r="H438" s="107">
        <f t="shared" si="799"/>
        <v>0</v>
      </c>
      <c r="I438" s="107">
        <f t="shared" si="799"/>
        <v>0</v>
      </c>
      <c r="J438" s="83">
        <f t="shared" si="799"/>
        <v>55520</v>
      </c>
      <c r="K438" s="83">
        <f t="shared" ref="K438:P438" si="800">+K365+K366+K370</f>
        <v>55520</v>
      </c>
      <c r="L438" s="107">
        <f t="shared" si="800"/>
        <v>0</v>
      </c>
      <c r="M438" s="107">
        <f t="shared" si="800"/>
        <v>55520</v>
      </c>
      <c r="N438" s="83">
        <f t="shared" si="800"/>
        <v>0</v>
      </c>
      <c r="O438" s="107">
        <f t="shared" si="800"/>
        <v>0</v>
      </c>
      <c r="P438" s="107">
        <f t="shared" si="800"/>
        <v>0</v>
      </c>
    </row>
    <row r="439" spans="1:16" hidden="1" x14ac:dyDescent="0.25">
      <c r="B439" s="110" t="s">
        <v>209</v>
      </c>
      <c r="C439" s="78">
        <f t="shared" ref="C439:P439" si="801">C99</f>
        <v>0</v>
      </c>
      <c r="D439" s="78">
        <f t="shared" si="801"/>
        <v>0</v>
      </c>
      <c r="E439" s="78">
        <f t="shared" si="801"/>
        <v>0</v>
      </c>
      <c r="F439" s="78">
        <f t="shared" si="801"/>
        <v>0</v>
      </c>
      <c r="G439" s="78">
        <f t="shared" si="801"/>
        <v>0</v>
      </c>
      <c r="H439" s="78">
        <f t="shared" si="801"/>
        <v>0</v>
      </c>
      <c r="I439" s="78">
        <f t="shared" si="801"/>
        <v>0</v>
      </c>
      <c r="J439" s="78">
        <f t="shared" si="801"/>
        <v>0</v>
      </c>
      <c r="K439" s="78">
        <f t="shared" si="801"/>
        <v>0</v>
      </c>
      <c r="L439" s="78">
        <f t="shared" si="801"/>
        <v>0</v>
      </c>
      <c r="M439" s="78">
        <f t="shared" si="801"/>
        <v>0</v>
      </c>
      <c r="N439" s="78">
        <f t="shared" si="801"/>
        <v>0</v>
      </c>
      <c r="O439" s="78">
        <f t="shared" si="801"/>
        <v>0</v>
      </c>
      <c r="P439" s="78">
        <f t="shared" si="801"/>
        <v>0</v>
      </c>
    </row>
    <row r="440" spans="1:16" hidden="1" x14ac:dyDescent="0.25">
      <c r="B440" s="110" t="s">
        <v>210</v>
      </c>
      <c r="C440" s="78">
        <f t="shared" ref="C440:P440" si="802">C103</f>
        <v>37858530</v>
      </c>
      <c r="D440" s="78">
        <f t="shared" si="802"/>
        <v>29258067</v>
      </c>
      <c r="E440" s="78">
        <f t="shared" si="802"/>
        <v>0</v>
      </c>
      <c r="F440" s="78">
        <f t="shared" si="802"/>
        <v>29258067</v>
      </c>
      <c r="G440" s="78">
        <f t="shared" si="802"/>
        <v>8600463</v>
      </c>
      <c r="H440" s="78">
        <f t="shared" si="802"/>
        <v>0</v>
      </c>
      <c r="I440" s="78">
        <f t="shared" si="802"/>
        <v>8600463</v>
      </c>
      <c r="J440" s="78">
        <f t="shared" si="802"/>
        <v>3747590</v>
      </c>
      <c r="K440" s="78">
        <f t="shared" si="802"/>
        <v>3747590</v>
      </c>
      <c r="L440" s="78">
        <f t="shared" si="802"/>
        <v>0</v>
      </c>
      <c r="M440" s="78">
        <f t="shared" si="802"/>
        <v>3747590</v>
      </c>
      <c r="N440" s="78">
        <f t="shared" si="802"/>
        <v>0</v>
      </c>
      <c r="O440" s="78">
        <f t="shared" si="802"/>
        <v>0</v>
      </c>
      <c r="P440" s="78">
        <f t="shared" si="802"/>
        <v>0</v>
      </c>
    </row>
    <row r="441" spans="1:16" hidden="1" x14ac:dyDescent="0.25">
      <c r="B441" s="110" t="s">
        <v>211</v>
      </c>
      <c r="C441" s="78">
        <f t="shared" ref="C441:P441" si="803">C106</f>
        <v>1479180</v>
      </c>
      <c r="D441" s="78">
        <f t="shared" si="803"/>
        <v>1145196</v>
      </c>
      <c r="E441" s="78">
        <f t="shared" si="803"/>
        <v>0</v>
      </c>
      <c r="F441" s="78">
        <f t="shared" si="803"/>
        <v>1145196</v>
      </c>
      <c r="G441" s="78">
        <f t="shared" si="803"/>
        <v>333984</v>
      </c>
      <c r="H441" s="78">
        <f t="shared" si="803"/>
        <v>0</v>
      </c>
      <c r="I441" s="78">
        <f t="shared" si="803"/>
        <v>333984</v>
      </c>
      <c r="J441" s="78">
        <f t="shared" si="803"/>
        <v>135968</v>
      </c>
      <c r="K441" s="78">
        <f t="shared" si="803"/>
        <v>135968</v>
      </c>
      <c r="L441" s="78">
        <f t="shared" si="803"/>
        <v>0</v>
      </c>
      <c r="M441" s="78">
        <f t="shared" si="803"/>
        <v>135968</v>
      </c>
      <c r="N441" s="78">
        <f t="shared" si="803"/>
        <v>0</v>
      </c>
      <c r="O441" s="78">
        <f t="shared" si="803"/>
        <v>0</v>
      </c>
      <c r="P441" s="78">
        <f t="shared" si="803"/>
        <v>0</v>
      </c>
    </row>
    <row r="442" spans="1:16" hidden="1" x14ac:dyDescent="0.25">
      <c r="B442" s="110" t="s">
        <v>212</v>
      </c>
      <c r="C442" s="78">
        <f t="shared" ref="C442:P442" si="804">C107</f>
        <v>1132950</v>
      </c>
      <c r="D442" s="78">
        <f t="shared" si="804"/>
        <v>1040152</v>
      </c>
      <c r="E442" s="78">
        <f t="shared" si="804"/>
        <v>0</v>
      </c>
      <c r="F442" s="78">
        <f t="shared" si="804"/>
        <v>1040152</v>
      </c>
      <c r="G442" s="78">
        <f t="shared" si="804"/>
        <v>92798</v>
      </c>
      <c r="H442" s="78">
        <f t="shared" si="804"/>
        <v>0</v>
      </c>
      <c r="I442" s="78">
        <f t="shared" si="804"/>
        <v>92798</v>
      </c>
      <c r="J442" s="78">
        <f t="shared" si="804"/>
        <v>232634</v>
      </c>
      <c r="K442" s="78">
        <f t="shared" si="804"/>
        <v>232634</v>
      </c>
      <c r="L442" s="78">
        <f t="shared" si="804"/>
        <v>0</v>
      </c>
      <c r="M442" s="78">
        <f t="shared" si="804"/>
        <v>232634</v>
      </c>
      <c r="N442" s="78">
        <f t="shared" si="804"/>
        <v>0</v>
      </c>
      <c r="O442" s="78">
        <f t="shared" si="804"/>
        <v>0</v>
      </c>
      <c r="P442" s="78">
        <f t="shared" si="804"/>
        <v>0</v>
      </c>
    </row>
    <row r="443" spans="1:16" hidden="1" x14ac:dyDescent="0.25">
      <c r="B443" s="110" t="s">
        <v>213</v>
      </c>
      <c r="C443" s="78">
        <f>C138</f>
        <v>67620993</v>
      </c>
      <c r="D443" s="78">
        <f t="shared" ref="D443:I443" si="805">D138</f>
        <v>48572710</v>
      </c>
      <c r="E443" s="78">
        <f t="shared" si="805"/>
        <v>23105080</v>
      </c>
      <c r="F443" s="78">
        <f t="shared" si="805"/>
        <v>25467630</v>
      </c>
      <c r="G443" s="78">
        <f t="shared" si="805"/>
        <v>19048283</v>
      </c>
      <c r="H443" s="78">
        <f t="shared" si="805"/>
        <v>11315240</v>
      </c>
      <c r="I443" s="78">
        <f t="shared" si="805"/>
        <v>7733043</v>
      </c>
      <c r="J443" s="78">
        <f>J138</f>
        <v>5499429</v>
      </c>
      <c r="K443" s="78">
        <f t="shared" ref="K443:P443" si="806">K138</f>
        <v>5499429</v>
      </c>
      <c r="L443" s="78">
        <f t="shared" si="806"/>
        <v>1913796</v>
      </c>
      <c r="M443" s="78">
        <f t="shared" si="806"/>
        <v>3585633</v>
      </c>
      <c r="N443" s="78">
        <f t="shared" si="806"/>
        <v>0</v>
      </c>
      <c r="O443" s="78">
        <f t="shared" si="806"/>
        <v>0</v>
      </c>
      <c r="P443" s="78">
        <f t="shared" si="806"/>
        <v>0</v>
      </c>
    </row>
    <row r="444" spans="1:16" hidden="1" x14ac:dyDescent="0.25">
      <c r="A444" s="139"/>
      <c r="B444" s="139" t="s">
        <v>214</v>
      </c>
      <c r="C444" s="80">
        <f t="shared" ref="C444:P444" si="807">C423-C90</f>
        <v>0</v>
      </c>
      <c r="D444" s="80">
        <f t="shared" si="807"/>
        <v>0</v>
      </c>
      <c r="E444" s="78">
        <f t="shared" si="807"/>
        <v>0</v>
      </c>
      <c r="F444" s="78">
        <f t="shared" si="807"/>
        <v>0</v>
      </c>
      <c r="G444" s="80">
        <f t="shared" si="807"/>
        <v>0</v>
      </c>
      <c r="H444" s="78">
        <f t="shared" si="807"/>
        <v>0</v>
      </c>
      <c r="I444" s="78">
        <f t="shared" si="807"/>
        <v>0</v>
      </c>
      <c r="J444" s="80">
        <f t="shared" si="807"/>
        <v>0</v>
      </c>
      <c r="K444" s="80">
        <f t="shared" si="807"/>
        <v>0</v>
      </c>
      <c r="L444" s="78">
        <f t="shared" si="807"/>
        <v>0</v>
      </c>
      <c r="M444" s="78">
        <f t="shared" si="807"/>
        <v>0</v>
      </c>
      <c r="N444" s="80">
        <f t="shared" si="807"/>
        <v>0</v>
      </c>
      <c r="O444" s="78">
        <f t="shared" si="807"/>
        <v>0</v>
      </c>
      <c r="P444" s="78">
        <f t="shared" si="807"/>
        <v>0</v>
      </c>
    </row>
    <row r="445" spans="1:16" x14ac:dyDescent="0.25">
      <c r="A445" s="139"/>
      <c r="B445" s="139"/>
      <c r="C445" s="84"/>
      <c r="D445" s="84"/>
      <c r="E445" s="79"/>
      <c r="F445" s="79"/>
      <c r="G445" s="84"/>
      <c r="H445" s="79"/>
      <c r="I445" s="79"/>
      <c r="J445" s="84"/>
      <c r="K445" s="84"/>
      <c r="L445" s="79"/>
      <c r="M445" s="79"/>
      <c r="N445" s="84"/>
      <c r="O445" s="79"/>
      <c r="P445" s="79"/>
    </row>
    <row r="446" spans="1:16" ht="16.5" x14ac:dyDescent="0.25">
      <c r="A446" s="135"/>
      <c r="B446" s="2" t="s">
        <v>382</v>
      </c>
      <c r="C446" s="38" t="s">
        <v>384</v>
      </c>
      <c r="D446" s="39"/>
      <c r="E446" s="159"/>
      <c r="G446" s="85"/>
      <c r="H446" s="79"/>
      <c r="I446" s="79"/>
      <c r="J446" s="160"/>
      <c r="K446" s="85"/>
      <c r="L446" s="79"/>
      <c r="M446" s="79"/>
      <c r="N446" s="85"/>
      <c r="O446" s="79"/>
      <c r="P446" s="79"/>
    </row>
    <row r="447" spans="1:16" ht="16.5" x14ac:dyDescent="0.25">
      <c r="A447" s="135"/>
      <c r="B447" s="147" t="s">
        <v>621</v>
      </c>
      <c r="C447" s="146" t="s">
        <v>619</v>
      </c>
      <c r="D447" s="15"/>
      <c r="E447" s="161"/>
      <c r="G447" s="85"/>
      <c r="H447" s="79"/>
      <c r="I447" s="79"/>
      <c r="J447" s="161"/>
      <c r="K447" s="85"/>
      <c r="L447" s="79"/>
      <c r="M447" s="79"/>
      <c r="N447" s="85"/>
      <c r="O447" s="79"/>
      <c r="P447" s="79"/>
    </row>
    <row r="448" spans="1:16" ht="16.5" x14ac:dyDescent="0.25">
      <c r="A448" s="139"/>
      <c r="B448" s="40"/>
      <c r="D448" s="15"/>
      <c r="E448" s="79"/>
      <c r="F448" s="79"/>
      <c r="G448" s="79"/>
      <c r="H448" s="79"/>
      <c r="I448" s="79"/>
      <c r="J448" s="79"/>
      <c r="K448" s="79"/>
      <c r="L448" s="79"/>
      <c r="M448" s="79"/>
      <c r="N448" s="79"/>
      <c r="O448" s="79"/>
      <c r="P448" s="79"/>
    </row>
    <row r="449" spans="1:16" ht="16.5" x14ac:dyDescent="0.25">
      <c r="A449" s="139"/>
      <c r="B449" s="145"/>
      <c r="C449" s="40" t="s">
        <v>383</v>
      </c>
      <c r="D449" s="15"/>
      <c r="E449" s="79"/>
      <c r="F449" s="79"/>
      <c r="G449" s="79"/>
      <c r="H449" s="79"/>
      <c r="I449" s="79"/>
      <c r="J449" s="79"/>
      <c r="K449" s="79"/>
      <c r="L449" s="79"/>
      <c r="M449" s="79"/>
      <c r="N449" s="79"/>
      <c r="O449" s="79"/>
      <c r="P449" s="79"/>
    </row>
    <row r="450" spans="1:16" ht="16.5" x14ac:dyDescent="0.25">
      <c r="A450" s="139"/>
      <c r="B450" s="13"/>
      <c r="C450" s="169" t="s">
        <v>620</v>
      </c>
      <c r="D450" s="15"/>
      <c r="E450" s="79"/>
      <c r="F450" s="79"/>
      <c r="G450" s="79"/>
      <c r="H450" s="79"/>
      <c r="I450" s="79"/>
      <c r="J450" s="79"/>
      <c r="K450" s="79"/>
      <c r="L450" s="79"/>
      <c r="M450" s="79"/>
      <c r="N450" s="79"/>
      <c r="O450" s="79"/>
      <c r="P450" s="79"/>
    </row>
    <row r="451" spans="1:16" ht="16.5" x14ac:dyDescent="0.25">
      <c r="A451" s="135"/>
      <c r="B451" s="13"/>
      <c r="C451" s="42"/>
      <c r="D451" s="15"/>
      <c r="E451" s="79"/>
      <c r="F451" s="79"/>
      <c r="G451" s="85"/>
      <c r="H451" s="79"/>
      <c r="I451" s="79"/>
      <c r="J451" s="85"/>
      <c r="K451" s="85"/>
      <c r="L451" s="79"/>
      <c r="M451" s="79"/>
      <c r="N451" s="85"/>
      <c r="O451" s="79"/>
      <c r="P451" s="79"/>
    </row>
    <row r="452" spans="1:16" x14ac:dyDescent="0.25">
      <c r="C452" s="79"/>
      <c r="D452" s="79"/>
      <c r="E452" s="79"/>
      <c r="F452" s="79"/>
      <c r="G452" s="79"/>
      <c r="H452" s="79"/>
      <c r="I452" s="79"/>
      <c r="J452" s="79"/>
      <c r="K452" s="79"/>
      <c r="L452" s="79"/>
      <c r="M452" s="79"/>
      <c r="N452" s="79"/>
      <c r="O452" s="79"/>
      <c r="P452" s="79"/>
    </row>
    <row r="453" spans="1:16" x14ac:dyDescent="0.25">
      <c r="C453" s="79"/>
      <c r="D453" s="79"/>
      <c r="E453" s="79"/>
      <c r="F453" s="79"/>
      <c r="G453" s="79"/>
      <c r="H453" s="79"/>
      <c r="I453" s="79"/>
      <c r="J453" s="79"/>
      <c r="K453" s="79"/>
      <c r="L453" s="79"/>
      <c r="M453" s="79"/>
      <c r="N453" s="79"/>
      <c r="O453" s="79"/>
      <c r="P453" s="79"/>
    </row>
    <row r="454" spans="1:16" x14ac:dyDescent="0.25">
      <c r="A454" s="138"/>
      <c r="B454" s="138"/>
      <c r="C454" s="79"/>
      <c r="D454" s="79"/>
      <c r="E454" s="79"/>
      <c r="F454" s="79"/>
      <c r="G454" s="79"/>
      <c r="H454" s="79"/>
      <c r="I454" s="79"/>
      <c r="J454" s="79"/>
      <c r="K454" s="79"/>
      <c r="L454" s="79"/>
      <c r="M454" s="79"/>
      <c r="N454" s="79"/>
      <c r="O454" s="79"/>
      <c r="P454" s="79"/>
    </row>
    <row r="455" spans="1:16" x14ac:dyDescent="0.25">
      <c r="A455" s="140"/>
      <c r="B455" s="140"/>
      <c r="C455" s="79"/>
      <c r="D455" s="79"/>
      <c r="E455" s="79"/>
      <c r="F455" s="79"/>
      <c r="G455" s="79"/>
      <c r="H455" s="79"/>
      <c r="I455" s="79"/>
      <c r="J455" s="79"/>
      <c r="K455" s="79"/>
      <c r="L455" s="79"/>
      <c r="M455" s="79"/>
      <c r="N455" s="79"/>
      <c r="O455" s="79"/>
      <c r="P455" s="79"/>
    </row>
    <row r="456" spans="1:16" x14ac:dyDescent="0.25">
      <c r="A456" s="140"/>
      <c r="B456" s="140"/>
      <c r="C456" s="79"/>
      <c r="D456" s="79"/>
      <c r="E456" s="79"/>
      <c r="F456" s="79"/>
      <c r="G456" s="79"/>
      <c r="H456" s="79"/>
      <c r="I456" s="79"/>
      <c r="J456" s="79"/>
      <c r="K456" s="79"/>
      <c r="L456" s="79"/>
      <c r="M456" s="79"/>
      <c r="N456" s="79"/>
      <c r="O456" s="79"/>
      <c r="P456" s="79"/>
    </row>
    <row r="457" spans="1:16" x14ac:dyDescent="0.25">
      <c r="C457" s="86"/>
      <c r="D457" s="86"/>
      <c r="E457" s="86"/>
      <c r="F457" s="86"/>
      <c r="G457" s="86"/>
      <c r="H457" s="86"/>
      <c r="I457" s="86"/>
      <c r="J457" s="86"/>
      <c r="K457" s="86"/>
      <c r="L457" s="86"/>
      <c r="M457" s="86"/>
      <c r="N457" s="86"/>
      <c r="O457" s="86"/>
      <c r="P457" s="86"/>
    </row>
    <row r="458" spans="1:16" x14ac:dyDescent="0.25">
      <c r="C458" s="86"/>
      <c r="D458" s="86"/>
      <c r="E458" s="86"/>
      <c r="F458" s="86"/>
      <c r="G458" s="86"/>
      <c r="H458" s="86"/>
      <c r="I458" s="86"/>
      <c r="J458" s="86"/>
      <c r="K458" s="86"/>
      <c r="L458" s="86"/>
      <c r="M458" s="86"/>
      <c r="N458" s="86"/>
      <c r="O458" s="86"/>
      <c r="P458" s="86"/>
    </row>
    <row r="459" spans="1:16" x14ac:dyDescent="0.25">
      <c r="A459" s="135"/>
      <c r="B459" s="135"/>
      <c r="C459" s="74"/>
      <c r="D459" s="74"/>
      <c r="G459" s="74"/>
      <c r="J459" s="74"/>
      <c r="K459" s="74"/>
      <c r="N459" s="74"/>
    </row>
    <row r="460" spans="1:16" x14ac:dyDescent="0.25">
      <c r="A460" s="135"/>
      <c r="B460" s="135"/>
      <c r="C460" s="74"/>
      <c r="D460" s="74"/>
      <c r="G460" s="74"/>
      <c r="J460" s="74"/>
      <c r="K460" s="74"/>
      <c r="N460" s="74"/>
    </row>
    <row r="461" spans="1:16" x14ac:dyDescent="0.25">
      <c r="C461" s="74"/>
      <c r="D461" s="74"/>
      <c r="G461" s="74"/>
      <c r="J461" s="74"/>
      <c r="K461" s="74"/>
      <c r="N461" s="74"/>
    </row>
    <row r="462" spans="1:16" x14ac:dyDescent="0.25">
      <c r="C462" s="86"/>
      <c r="D462" s="86"/>
      <c r="E462" s="86"/>
      <c r="F462" s="86"/>
      <c r="G462" s="86"/>
      <c r="H462" s="86"/>
      <c r="I462" s="86"/>
      <c r="J462" s="86"/>
      <c r="K462" s="86"/>
      <c r="L462" s="86"/>
      <c r="M462" s="86"/>
      <c r="N462" s="86"/>
      <c r="O462" s="86"/>
      <c r="P462" s="86"/>
    </row>
    <row r="463" spans="1:16" x14ac:dyDescent="0.25">
      <c r="A463" s="136"/>
      <c r="B463" s="136"/>
      <c r="C463" s="87"/>
      <c r="D463" s="87"/>
      <c r="E463" s="108"/>
      <c r="F463" s="108"/>
      <c r="G463" s="87"/>
      <c r="H463" s="108"/>
      <c r="I463" s="108"/>
      <c r="J463" s="87"/>
      <c r="K463" s="87"/>
      <c r="L463" s="108"/>
      <c r="M463" s="108"/>
      <c r="N463" s="87"/>
      <c r="O463" s="108"/>
      <c r="P463" s="108"/>
    </row>
  </sheetData>
  <sheetProtection sort="0" autoFilter="0"/>
  <mergeCells count="2">
    <mergeCell ref="A2:P2"/>
    <mergeCell ref="A6:B6"/>
  </mergeCells>
  <printOptions horizontalCentered="1"/>
  <pageMargins left="0.15748031496062992" right="0.15748031496062992" top="0.19685039370078741" bottom="0.19685039370078741" header="0.51181102362204722" footer="0.51181102362204722"/>
  <pageSetup paperSize="9" scale="4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VENITURI</vt:lpstr>
      <vt:lpstr>CHELTUIELI</vt:lpstr>
      <vt:lpstr>CHELTUIELI!Print_Area</vt:lpstr>
      <vt:lpstr>VENITURI!Print_Area</vt:lpstr>
      <vt:lpstr>CHELTUIELI!Print_Titles</vt:lpstr>
      <vt:lpstr>VENITURI!Print_Titles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Florentina VISAN</dc:creator>
  <cp:lastModifiedBy>Claudia</cp:lastModifiedBy>
  <cp:lastPrinted>2026-01-30T06:13:30Z</cp:lastPrinted>
  <dcterms:created xsi:type="dcterms:W3CDTF">2024-10-16T10:16:31Z</dcterms:created>
  <dcterms:modified xsi:type="dcterms:W3CDTF">2026-02-17T09:19:40Z</dcterms:modified>
</cp:coreProperties>
</file>